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kg\Downloads\"/>
    </mc:Choice>
  </mc:AlternateContent>
  <xr:revisionPtr revIDLastSave="0" documentId="8_{AD36C81F-D3EA-4E5B-8B7B-4C6F8DA06E06}" xr6:coauthVersionLast="47" xr6:coauthVersionMax="47" xr10:uidLastSave="{00000000-0000-0000-0000-000000000000}"/>
  <workbookProtection lockStructure="1"/>
  <bookViews>
    <workbookView xWindow="-110" yWindow="-110" windowWidth="24220" windowHeight="15500" xr2:uid="{00000000-000D-0000-FFFF-FFFF00000000}"/>
  </bookViews>
  <sheets>
    <sheet name="Termine" sheetId="1" r:id="rId1"/>
    <sheet name="Erläuterungen" sheetId="4" state="hidden" r:id="rId2"/>
    <sheet name="Feiertage" sheetId="3" state="hidden" r:id="rId3"/>
    <sheet name="WoTage" sheetId="2" state="hidden" r:id="rId4"/>
  </sheets>
  <definedNames>
    <definedName name="_xlnm.Print_Area" localSheetId="0">Termine!$A$1:$N$30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5" i="1" l="1"/>
  <c r="K15" i="1"/>
  <c r="K14" i="1" s="1"/>
  <c r="K16" i="1"/>
  <c r="K12" i="1"/>
  <c r="G29" i="1"/>
  <c r="K13" i="1"/>
  <c r="L16" i="1" l="1"/>
  <c r="L15" i="1"/>
  <c r="E26" i="1" l="1"/>
  <c r="F8" i="1" l="1"/>
  <c r="C11" i="1" s="1"/>
  <c r="K22" i="1" l="1"/>
  <c r="L22" i="1" l="1"/>
  <c r="L25" i="1"/>
  <c r="K24" i="1" l="1"/>
  <c r="K23" i="1"/>
  <c r="L23" i="1" s="1"/>
  <c r="K28" i="1" l="1"/>
  <c r="L24" i="1"/>
  <c r="L19" i="1"/>
  <c r="L29" i="1" l="1"/>
  <c r="L28" i="1"/>
  <c r="B1" i="3" l="1"/>
  <c r="L30" i="1" l="1"/>
  <c r="L31" i="1"/>
  <c r="L32" i="1"/>
  <c r="C32" i="1"/>
  <c r="C5" i="1"/>
  <c r="C4" i="1"/>
  <c r="D29" i="1" l="1"/>
  <c r="C29" i="1" s="1"/>
  <c r="L12" i="1" l="1"/>
  <c r="B28" i="3" l="1"/>
  <c r="B30" i="3"/>
  <c r="B34" i="3"/>
  <c r="B12" i="3"/>
  <c r="B20" i="3"/>
  <c r="B6" i="3"/>
  <c r="B22" i="3"/>
  <c r="B10" i="3"/>
  <c r="B14" i="3"/>
  <c r="B26" i="3"/>
  <c r="B4" i="3"/>
  <c r="B18" i="3"/>
  <c r="C18" i="3" l="1"/>
  <c r="G4" i="3"/>
  <c r="C4" i="3"/>
  <c r="G34" i="3"/>
  <c r="C34" i="3"/>
  <c r="G30" i="3"/>
  <c r="F30" i="3" s="1"/>
  <c r="C30" i="3"/>
  <c r="G14" i="3"/>
  <c r="F14" i="3" s="1"/>
  <c r="C14" i="3"/>
  <c r="G10" i="3"/>
  <c r="C10" i="3"/>
  <c r="G22" i="3"/>
  <c r="F22" i="3" s="1"/>
  <c r="C22" i="3"/>
  <c r="G26" i="3"/>
  <c r="C26" i="3"/>
  <c r="G6" i="3"/>
  <c r="F6" i="3" s="1"/>
  <c r="C6" i="3"/>
  <c r="G20" i="3"/>
  <c r="C20" i="3"/>
  <c r="G12" i="3"/>
  <c r="C12" i="3"/>
  <c r="G28" i="3"/>
  <c r="C28" i="3"/>
  <c r="H18" i="3"/>
  <c r="G18" i="3"/>
  <c r="B11" i="3"/>
  <c r="C11" i="3" s="1"/>
  <c r="H12" i="3"/>
  <c r="B5" i="3"/>
  <c r="C5" i="3" s="1"/>
  <c r="H4" i="3"/>
  <c r="D22" i="3"/>
  <c r="H22" i="3"/>
  <c r="D34" i="3"/>
  <c r="H34" i="3"/>
  <c r="D26" i="3"/>
  <c r="H26" i="3"/>
  <c r="D6" i="3"/>
  <c r="H6" i="3"/>
  <c r="D30" i="3"/>
  <c r="H30" i="3"/>
  <c r="D10" i="3"/>
  <c r="H10" i="3"/>
  <c r="D14" i="3"/>
  <c r="H14" i="3"/>
  <c r="B25" i="3"/>
  <c r="C25" i="3" s="1"/>
  <c r="H20" i="3"/>
  <c r="B33" i="3"/>
  <c r="C33" i="3" s="1"/>
  <c r="H28" i="3"/>
  <c r="D18" i="3"/>
  <c r="B21" i="3"/>
  <c r="C21" i="3" s="1"/>
  <c r="B24" i="3"/>
  <c r="C24" i="3" s="1"/>
  <c r="B13" i="3"/>
  <c r="C13" i="3" s="1"/>
  <c r="B15" i="3"/>
  <c r="C15" i="3" s="1"/>
  <c r="B17" i="3"/>
  <c r="C17" i="3" s="1"/>
  <c r="B19" i="3"/>
  <c r="C19" i="3" s="1"/>
  <c r="B9" i="3"/>
  <c r="C9" i="3" s="1"/>
  <c r="B8" i="3"/>
  <c r="C8" i="3" s="1"/>
  <c r="B29" i="3"/>
  <c r="C29" i="3" s="1"/>
  <c r="B31" i="3"/>
  <c r="C31" i="3" s="1"/>
  <c r="B3" i="3"/>
  <c r="C3" i="3" s="1"/>
  <c r="B23" i="3"/>
  <c r="C23" i="3" s="1"/>
  <c r="B16" i="3"/>
  <c r="B7" i="3"/>
  <c r="C7" i="3" s="1"/>
  <c r="B27" i="3"/>
  <c r="C27" i="3" s="1"/>
  <c r="B32" i="3"/>
  <c r="C32" i="3" s="1"/>
  <c r="J12" i="1" l="1"/>
  <c r="I12" i="1" s="1"/>
  <c r="H12" i="1" s="1"/>
  <c r="G16" i="3"/>
  <c r="C16" i="3"/>
  <c r="J16" i="1"/>
  <c r="I16" i="1" s="1"/>
  <c r="H16" i="1" s="1"/>
  <c r="J15" i="1"/>
  <c r="J22" i="1"/>
  <c r="I22" i="1" s="1"/>
  <c r="H22" i="1" s="1"/>
  <c r="J25" i="1"/>
  <c r="I25" i="1" s="1"/>
  <c r="H25" i="1" s="1"/>
  <c r="K26" i="1"/>
  <c r="J24" i="1"/>
  <c r="I24" i="1" s="1"/>
  <c r="H24" i="1" s="1"/>
  <c r="J23" i="1"/>
  <c r="I23" i="1" s="1"/>
  <c r="H23" i="1" s="1"/>
  <c r="H27" i="3"/>
  <c r="G27" i="3"/>
  <c r="H3" i="3"/>
  <c r="G3" i="3"/>
  <c r="H9" i="3"/>
  <c r="G9" i="3"/>
  <c r="H13" i="3"/>
  <c r="G13" i="3"/>
  <c r="H19" i="3"/>
  <c r="G19" i="3"/>
  <c r="H33" i="3"/>
  <c r="G33" i="3"/>
  <c r="H11" i="3"/>
  <c r="G11" i="3"/>
  <c r="H29" i="3"/>
  <c r="G29" i="3"/>
  <c r="H17" i="3"/>
  <c r="G17" i="3"/>
  <c r="H21" i="3"/>
  <c r="G21" i="3"/>
  <c r="H7" i="3"/>
  <c r="G7" i="3"/>
  <c r="H31" i="3"/>
  <c r="G31" i="3"/>
  <c r="H24" i="3"/>
  <c r="G24" i="3"/>
  <c r="H32" i="3"/>
  <c r="G32" i="3"/>
  <c r="H23" i="3"/>
  <c r="G23" i="3"/>
  <c r="H8" i="3"/>
  <c r="G8" i="3"/>
  <c r="H15" i="3"/>
  <c r="G15" i="3"/>
  <c r="H25" i="3"/>
  <c r="G25" i="3"/>
  <c r="H5" i="3"/>
  <c r="G5" i="3"/>
  <c r="H16" i="3"/>
  <c r="J28" i="1"/>
  <c r="I28" i="1" s="1"/>
  <c r="H28" i="1" s="1"/>
  <c r="I15" i="1" l="1"/>
  <c r="H15" i="1" s="1"/>
  <c r="G15" i="1" s="1"/>
  <c r="F15" i="1" s="1"/>
  <c r="D15" i="1" s="1"/>
  <c r="D28" i="1"/>
  <c r="C28" i="1" s="1"/>
  <c r="E28" i="1" s="1"/>
  <c r="G28" i="1"/>
  <c r="D23" i="1"/>
  <c r="M23" i="1" s="1"/>
  <c r="G23" i="1"/>
  <c r="D25" i="1"/>
  <c r="C25" i="1" s="1"/>
  <c r="E25" i="1" s="1"/>
  <c r="G25" i="1"/>
  <c r="D22" i="1"/>
  <c r="M22" i="1" s="1"/>
  <c r="G22" i="1"/>
  <c r="F16" i="1"/>
  <c r="D16" i="1" s="1"/>
  <c r="G16" i="1"/>
  <c r="L26" i="1"/>
  <c r="J26" i="1"/>
  <c r="I26" i="1" s="1"/>
  <c r="H26" i="1" s="1"/>
  <c r="M28" i="1" l="1"/>
  <c r="C23" i="1"/>
  <c r="E23" i="1" s="1"/>
  <c r="C22" i="1"/>
  <c r="D26" i="1"/>
  <c r="C26" i="1" s="1"/>
  <c r="G26" i="1"/>
  <c r="M25" i="1"/>
  <c r="D24" i="1"/>
  <c r="C24" i="1" s="1"/>
  <c r="E24" i="1" s="1"/>
  <c r="G24" i="1"/>
  <c r="M16" i="1"/>
  <c r="C16" i="1"/>
  <c r="E16" i="1" s="1"/>
  <c r="K21" i="1"/>
  <c r="D18" i="1"/>
  <c r="M18" i="1" s="1"/>
  <c r="D17" i="1"/>
  <c r="C17" i="1" s="1"/>
  <c r="E17" i="1" s="1"/>
  <c r="D20" i="1"/>
  <c r="C20" i="1" s="1"/>
  <c r="E20" i="1" s="1"/>
  <c r="M15" i="1"/>
  <c r="D19" i="1"/>
  <c r="C19" i="1" s="1"/>
  <c r="E19" i="1" s="1"/>
  <c r="M26" i="1" l="1"/>
  <c r="M24" i="1"/>
  <c r="C18" i="1"/>
  <c r="E18" i="1" s="1"/>
  <c r="L21" i="1"/>
  <c r="J21" i="1"/>
  <c r="I21" i="1" s="1"/>
  <c r="H21" i="1" s="1"/>
  <c r="K27" i="1"/>
  <c r="J27" i="1" s="1"/>
  <c r="I27" i="1" s="1"/>
  <c r="H27" i="1" s="1"/>
  <c r="M17" i="1"/>
  <c r="C15" i="1"/>
  <c r="E15" i="1" s="1"/>
  <c r="M19" i="1"/>
  <c r="D21" i="1" l="1"/>
  <c r="M21" i="1" s="1"/>
  <c r="G21" i="1"/>
  <c r="F27" i="1"/>
  <c r="D27" i="1" s="1"/>
  <c r="M27" i="1" s="1"/>
  <c r="G27" i="1"/>
  <c r="L27" i="1"/>
  <c r="C21" i="1" l="1"/>
  <c r="E21" i="1" s="1"/>
  <c r="C27" i="1"/>
  <c r="L14" i="1"/>
  <c r="L13" i="1"/>
  <c r="J13" i="1"/>
  <c r="I13" i="1" s="1"/>
  <c r="H13" i="1" s="1"/>
  <c r="J14" i="1"/>
  <c r="I14" i="1" s="1"/>
  <c r="H14" i="1" s="1"/>
  <c r="D13" i="1" l="1"/>
  <c r="C13" i="1" s="1"/>
  <c r="G13" i="1"/>
  <c r="D14" i="1" l="1"/>
  <c r="M14" i="1" s="1"/>
  <c r="G14" i="1"/>
  <c r="M13" i="1"/>
  <c r="C14" i="1" l="1"/>
  <c r="E14" i="1" s="1"/>
  <c r="D12" i="1"/>
  <c r="C12" i="1" l="1"/>
  <c r="E12" i="1" s="1"/>
  <c r="M12" i="1"/>
  <c r="G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Güttler, Kurt (LA FD)</author>
  </authors>
  <commentList>
    <comment ref="N12" authorId="0" shapeId="0" xr:uid="{9E1966AD-8B72-4CEF-860B-CF3A564E33D1}">
      <text>
        <r>
          <rPr>
            <sz val="9"/>
            <color indexed="81"/>
            <rFont val="Tahoma"/>
            <family val="2"/>
          </rPr>
          <t>9 Monate nach der Einstellung</t>
        </r>
      </text>
    </comment>
    <comment ref="N13" authorId="0" shapeId="0" xr:uid="{75ACB040-00D4-4EFB-A90B-2C825D418EDC}">
      <text>
        <r>
          <rPr>
            <sz val="9"/>
            <color indexed="81"/>
            <rFont val="Tahoma"/>
            <family val="2"/>
          </rPr>
          <t>Beginn des Hauptsemesters 2</t>
        </r>
      </text>
    </comment>
    <comment ref="N14" authorId="0" shapeId="0" xr:uid="{046D7403-8991-49A6-B431-73BEB9938E9C}">
      <text>
        <r>
          <rPr>
            <sz val="9"/>
            <color indexed="81"/>
            <rFont val="Tahoma"/>
            <family val="2"/>
          </rPr>
          <t>5 Monate vor Abgabe der Arbeit</t>
        </r>
      </text>
    </comment>
    <comment ref="N15" authorId="0" shapeId="0" xr:uid="{7E3F0771-3470-46D6-9185-04B87945BC8E}">
      <text>
        <r>
          <rPr>
            <sz val="9"/>
            <color indexed="81"/>
            <rFont val="Tahoma"/>
            <family val="2"/>
          </rPr>
          <t>1 Monat nach Beginn des Prüfungssemesters</t>
        </r>
      </text>
    </comment>
    <comment ref="N16" authorId="0" shapeId="0" xr:uid="{DD534A03-158F-4D4B-A87D-6DC49D4BB3DD}">
      <text>
        <r>
          <rPr>
            <sz val="9"/>
            <color indexed="81"/>
            <rFont val="Tahoma"/>
            <family val="2"/>
          </rPr>
          <t>2 Monate nach Beginn des Prüfungssemesters</t>
        </r>
      </text>
    </comment>
    <comment ref="N17" authorId="0" shapeId="0" xr:uid="{B6113F42-BF72-45BC-99D6-F2BA1375D6E4}">
      <text>
        <r>
          <rPr>
            <sz val="9"/>
            <color indexed="81"/>
            <rFont val="Tahoma"/>
            <family val="2"/>
          </rPr>
          <t>Mit der Meldung zur Prüfung</t>
        </r>
      </text>
    </comment>
    <comment ref="N18" authorId="0" shapeId="0" xr:uid="{E6AD4505-3877-4C44-954A-B42595116721}">
      <text>
        <r>
          <rPr>
            <sz val="9"/>
            <color indexed="81"/>
            <rFont val="Tahoma"/>
            <family val="2"/>
          </rPr>
          <t>Mit der Meldung zur Prüfung</t>
        </r>
      </text>
    </comment>
    <comment ref="N19" authorId="0" shapeId="0" xr:uid="{F12368A8-836A-45D0-89C2-D589CDCFB173}">
      <text>
        <r>
          <rPr>
            <sz val="9"/>
            <color indexed="81"/>
            <rFont val="Tahoma"/>
            <family val="2"/>
          </rPr>
          <t>Mit der Meldung zur Prüfung</t>
        </r>
      </text>
    </comment>
    <comment ref="N20" authorId="0" shapeId="0" xr:uid="{35524552-90CB-4868-B518-85D91AA0E833}">
      <text>
        <r>
          <rPr>
            <sz val="9"/>
            <color indexed="81"/>
            <rFont val="Tahoma"/>
            <family val="2"/>
          </rPr>
          <t>Mit der Meldung zur Prüfung</t>
        </r>
      </text>
    </comment>
    <comment ref="N21" authorId="0" shapeId="0" xr:uid="{1813D83A-CB57-46FA-BC4D-62EF944F5ACC}">
      <text>
        <r>
          <rPr>
            <sz val="9"/>
            <color indexed="81"/>
            <rFont val="Tahoma"/>
            <family val="2"/>
          </rPr>
          <t>Spätestens 4 Wochen vor der Prüfung bzw. mit der Meldung zur Prüfung</t>
        </r>
      </text>
    </comment>
    <comment ref="N22" authorId="0" shapeId="0" xr:uid="{FAB1E7ED-8C3B-458D-B96B-10E6ADA92D4F}">
      <text>
        <r>
          <rPr>
            <sz val="9"/>
            <color indexed="81"/>
            <rFont val="Tahoma"/>
            <family val="2"/>
          </rPr>
          <t>Spätestens 4 Wochen vor der Prüfung</t>
        </r>
      </text>
    </comment>
    <comment ref="N23" authorId="0" shapeId="0" xr:uid="{6028A517-A65A-429E-9E61-B4C87239F0AB}">
      <text>
        <r>
          <rPr>
            <sz val="9"/>
            <color indexed="81"/>
            <rFont val="Tahoma"/>
            <family val="2"/>
          </rPr>
          <t>14 Tage vor der Prüfung</t>
        </r>
      </text>
    </comment>
    <comment ref="N24" authorId="0" shapeId="0" xr:uid="{CA3C993F-39DA-46FA-B8FE-25F652AB1204}">
      <text>
        <r>
          <rPr>
            <sz val="9"/>
            <color indexed="81"/>
            <rFont val="Tahoma"/>
            <family val="2"/>
          </rPr>
          <t>12 Tage vor der Prüfung</t>
        </r>
      </text>
    </comment>
    <comment ref="N25" authorId="0" shapeId="0" xr:uid="{AB32FD60-F90B-4235-99EA-1F95CE148486}">
      <text>
        <r>
          <rPr>
            <sz val="9"/>
            <color indexed="81"/>
            <rFont val="Tahoma"/>
            <family val="2"/>
          </rPr>
          <t>1 Woche vor der Prüfung</t>
        </r>
      </text>
    </comment>
    <comment ref="N26" authorId="0" shapeId="0" xr:uid="{854F6E33-E9D5-4478-9ECB-7E690B3307B5}">
      <text>
        <r>
          <rPr>
            <sz val="9"/>
            <color indexed="81"/>
            <rFont val="Tahoma"/>
            <family val="2"/>
          </rPr>
          <t>2 Werktage vor der Prüfung</t>
        </r>
      </text>
    </comment>
    <comment ref="N27" authorId="0" shapeId="0" xr:uid="{8C191019-D6BD-4AA6-96AC-53CA17FE825C}">
      <text>
        <r>
          <rPr>
            <sz val="9"/>
            <color indexed="81"/>
            <rFont val="Tahoma"/>
            <family val="2"/>
          </rPr>
          <t>2 Monate nach Abgabe der Facharbeit, spätestens jedoch am Prüfungstag</t>
        </r>
      </text>
    </comment>
    <comment ref="N28" authorId="0" shapeId="0" xr:uid="{03A12C24-0E3D-45D0-9423-7FA15A0B5B65}">
      <text>
        <r>
          <rPr>
            <sz val="9"/>
            <color indexed="81"/>
            <rFont val="Tahoma"/>
            <family val="2"/>
          </rPr>
          <t>14 Tage vor Ende der Ausbildung</t>
        </r>
      </text>
    </comment>
    <comment ref="D29" authorId="0" shapeId="0" xr:uid="{00000000-0006-0000-0000-000013000000}">
      <text>
        <r>
          <rPr>
            <sz val="9"/>
            <color indexed="81"/>
            <rFont val="Tahoma"/>
            <family val="2"/>
          </rPr>
          <t>21 Monate nach Beginn der Ausbildung</t>
        </r>
      </text>
    </comment>
    <comment ref="N30" authorId="0" shapeId="0" xr:uid="{7BDB6C05-537A-4165-B3AD-A1A2741C40EA}">
      <text>
        <r>
          <rPr>
            <sz val="9"/>
            <color indexed="81"/>
            <rFont val="Tahoma"/>
            <family val="2"/>
          </rPr>
          <t>Bitte immer umgehend mitteilen</t>
        </r>
      </text>
    </comment>
  </commentList>
</comments>
</file>

<file path=xl/sharedStrings.xml><?xml version="1.0" encoding="utf-8"?>
<sst xmlns="http://schemas.openxmlformats.org/spreadsheetml/2006/main" count="170" uniqueCount="106">
  <si>
    <t>Terminberechnung</t>
  </si>
  <si>
    <t>Einstellungstermin</t>
  </si>
  <si>
    <r>
      <rPr>
        <b/>
        <sz val="14"/>
        <color rgb="FFFF0000"/>
        <rFont val="Wingdings"/>
        <charset val="2"/>
      </rPr>
      <t>ï</t>
    </r>
    <r>
      <rPr>
        <b/>
        <sz val="14"/>
        <color rgb="FFFF0000"/>
        <rFont val="Calibri"/>
        <family val="2"/>
        <scheme val="minor"/>
      </rPr>
      <t xml:space="preserve"> Ihre Eingaben</t>
    </r>
  </si>
  <si>
    <t>Prüfungstag</t>
  </si>
  <si>
    <t>Verlängerung Ausbildung (in Monaten)</t>
  </si>
  <si>
    <t>Verlängerung Abgabe päd. Facharbeit (in Tagen)</t>
  </si>
  <si>
    <t>Termin</t>
  </si>
  <si>
    <t>Tag</t>
  </si>
  <si>
    <t>Uhrzeit</t>
  </si>
  <si>
    <t>Verantw.</t>
  </si>
  <si>
    <t>WE Korr.</t>
  </si>
  <si>
    <t>Zeit gesetzt</t>
  </si>
  <si>
    <t>FeiertagsKorr.
+ evtl. WE Korr.</t>
  </si>
  <si>
    <t>Form. Ber.</t>
  </si>
  <si>
    <t>WoTag</t>
  </si>
  <si>
    <t>Dat. Ist Feiertag?</t>
  </si>
  <si>
    <t>Prüfungszeitraum</t>
  </si>
  <si>
    <t>Vorschlag LiV betreuende Ausbildende für die päd. Facharbeit</t>
  </si>
  <si>
    <t>Lehrkraft i.V.</t>
  </si>
  <si>
    <t>Benennung des betr. Ausb. päd. Facharbeit</t>
  </si>
  <si>
    <t>Ltg. StS</t>
  </si>
  <si>
    <t>Benennung des Themas der päd. Facharbeit</t>
  </si>
  <si>
    <t>Betr. Ausb.</t>
  </si>
  <si>
    <t>Abgabe pädagogische Facharbeit</t>
  </si>
  <si>
    <t>Meldung zur Prüfung</t>
  </si>
  <si>
    <t>Abgabe Portfolio</t>
  </si>
  <si>
    <t>Abgabe Erste-Hilfe-Bescheinigung</t>
  </si>
  <si>
    <t>Abgabe Schulleitungsgutachten</t>
  </si>
  <si>
    <t>Schulleitung</t>
  </si>
  <si>
    <t>Benennung Lehrkraft des Vertrauens</t>
  </si>
  <si>
    <t>Abgabe Modul-/Ausbildungsschwerpunkte</t>
  </si>
  <si>
    <t>Bekanntgabe des Prüfungstermins (spätestens)</t>
  </si>
  <si>
    <t>Versand AmP an Pr.-Vors.</t>
  </si>
  <si>
    <t>Ausb. AmP</t>
  </si>
  <si>
    <t>Abgabe Gutachten päd. Facharbeit</t>
  </si>
  <si>
    <t>Versand AmP an Prüfungsausschuss</t>
  </si>
  <si>
    <t>Pr.-Vors.</t>
  </si>
  <si>
    <t>Späteste Bekanntgabe Ergebnis päd. Facharbeit</t>
  </si>
  <si>
    <t>Rückgabe entliehener Literatur (nur Bad Hersfeld)</t>
  </si>
  <si>
    <t>Ende der Ausbildung</t>
  </si>
  <si>
    <t>Änderung der persönlichen Daten</t>
  </si>
  <si>
    <t>umgehend</t>
  </si>
  <si>
    <t>Erläuterungen</t>
  </si>
  <si>
    <t>Rechtsgrundlage</t>
  </si>
  <si>
    <t>Berechnung</t>
  </si>
  <si>
    <t>Beginnt am 15. im dritten Monat des Prüfungssemesters und geht bis Ende des Prüfungssemesters</t>
  </si>
  <si>
    <t>Betreuende Ausb. Päd. Facharbeit benennen</t>
  </si>
  <si>
    <t>Beginn des 2. Hauptsemesters (+9 Monate zum Ausbildungsbeginn)</t>
  </si>
  <si>
    <t>Thema päd. Facharbeit benennen</t>
  </si>
  <si>
    <t>Sechs Monate vor der Meldung zur Prüfung (+12 Monate zum Ausbildungsbeginn)</t>
  </si>
  <si>
    <t>Abgabe der päd. Facharbeit</t>
  </si>
  <si>
    <t>Meldung zur Prüfung + evtl. Verlängerung (+Verlängerung zur Prüfungsmeldung)</t>
  </si>
  <si>
    <t>Abgabe Ausbildungsschwerpunkte</t>
  </si>
  <si>
    <t>Fünf Wochen vor dem Prüfungstag (-35 Tage zum Prüfungstag)</t>
  </si>
  <si>
    <t>Benennung Prüfungslehrproben</t>
  </si>
  <si>
    <t>Zwei Wochen vor dem Prüfungstag (-14 Tage zum Prüfungstag)</t>
  </si>
  <si>
    <t>Eine Woche vor dem Prüfungstag (-7 Tage zum Prüfungstag)</t>
  </si>
  <si>
    <t>Vorlage der Prüfungslehrproben (12.00 Uhr)</t>
  </si>
  <si>
    <t>Zwei Werktage vor dem Prüfungstag (-2 Tage zum Prüfungstag)</t>
  </si>
  <si>
    <t>Zwölf Tage vor dem Prüfungstag (-12 Tage zum Prüfungstag)</t>
  </si>
  <si>
    <t>Späteste Bekanntgabe Ergebniss Päd. Facharbeit</t>
  </si>
  <si>
    <t>Zwei Monate nach Abgabe der Arbeit, spätestens jedoch am Prüfungstag</t>
  </si>
  <si>
    <t>Rückgabe entliehender Literatur</t>
  </si>
  <si>
    <t>Vierzehn Tage vor Ende der Ausbildung (-14 Tage zum Ausbildungsende)</t>
  </si>
  <si>
    <t>Einundzwanzig Monate nach Ausbildungsbeginn (+21 Monate zum Ausbildungsbeginn)</t>
  </si>
  <si>
    <t>Regel:</t>
  </si>
  <si>
    <t>Fällt ein Termin auf einen Feiertag oder das Wochenende, dann ist am nächsten Werktag davor abzugeben</t>
  </si>
  <si>
    <t>Ausnahmen:</t>
  </si>
  <si>
    <t>Ostermontag</t>
  </si>
  <si>
    <t>Abgabe Mittwoch</t>
  </si>
  <si>
    <t>Pfingstmontag</t>
  </si>
  <si>
    <t>Abgabe Donnerstag</t>
  </si>
  <si>
    <t>1, Mai am Montag</t>
  </si>
  <si>
    <t>1. Mai am Dienstag</t>
  </si>
  <si>
    <t>Abgabe Freitag</t>
  </si>
  <si>
    <t>Wochentage</t>
  </si>
  <si>
    <t>So.</t>
  </si>
  <si>
    <t>Mo.</t>
  </si>
  <si>
    <t>Di.</t>
  </si>
  <si>
    <t>Mi.</t>
  </si>
  <si>
    <t>Do.</t>
  </si>
  <si>
    <t>Fr.</t>
  </si>
  <si>
    <t>Sa.</t>
  </si>
  <si>
    <t>Beginn Vorbereitungsdienst</t>
  </si>
  <si>
    <t>Bewegliche Feiertage ab</t>
  </si>
  <si>
    <t>Karfreitag</t>
  </si>
  <si>
    <t>Spalte C:</t>
  </si>
  <si>
    <t>Ostersonntag</t>
  </si>
  <si>
    <t>Tag der Arbeit</t>
  </si>
  <si>
    <t>Himmelfahrt</t>
  </si>
  <si>
    <t>Pfingsmontag</t>
  </si>
  <si>
    <t>Fronleichnam</t>
  </si>
  <si>
    <t>Tag der deutschen Einheit</t>
  </si>
  <si>
    <t>Am 1. des dritten Monats des Prüfungssemesters (+18 Monate zum Ausbildungsbeginn)</t>
  </si>
  <si>
    <t>HLbGDV §</t>
  </si>
  <si>
    <t>Vorname Name</t>
  </si>
  <si>
    <t>Berechnung Datum</t>
  </si>
  <si>
    <t>Werktage vor dem Feiertag</t>
  </si>
  <si>
    <t>Prfg. Feiertag I</t>
  </si>
  <si>
    <t>Prfg. Feiertag II</t>
  </si>
  <si>
    <t>Nicht am WE</t>
  </si>
  <si>
    <t>Wochentag</t>
  </si>
  <si>
    <t>Versand Portfolioauszüge an Prüfungsausschuss</t>
  </si>
  <si>
    <t>Versand der Planungsunterlagen Prüfung</t>
  </si>
  <si>
    <t>Version 7.1 vom31.01.2024</t>
  </si>
  <si>
    <t>Abgabe Dokumetation Ausbildungsveranstaltungen und Module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</si>
</sst>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F800]dddd\,\ mmmm\ dd\,\ yyyy"/>
    <numFmt numFmtId="165" formatCode="0;[Red]0"/>
    <numFmt numFmtId="166" formatCode="[$-407]d/\ mmm/\ yyyy;@"/>
    <numFmt numFmtId="167" formatCode="dd/mm/yyyy;@"/>
    <numFmt numFmtId="168" formatCode="h:mm\ &quot;Uhr&quot;"/>
    <numFmt numFmtId="169" formatCode="[$-407]d/\ mmmm\ yyyy;@"/>
    <numFmt numFmtId="170" formatCode="yyyy"/>
    <numFmt numFmtId="171" formatCode="ddd* dd/mm/yyyy"/>
  </numFmts>
  <fonts count="20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9D75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3333CC"/>
      <name val="Calibri"/>
      <family val="2"/>
    </font>
    <font>
      <b/>
      <sz val="14"/>
      <color rgb="FFFF0000"/>
      <name val="Wingdings"/>
      <charset val="2"/>
    </font>
    <font>
      <b/>
      <sz val="11"/>
      <color rgb="FFFF0000"/>
      <name val="Calibri"/>
      <family val="2"/>
      <scheme val="minor"/>
    </font>
    <font>
      <b/>
      <sz val="11"/>
      <color rgb="FF3333CC"/>
      <name val="Calibri"/>
      <family val="2"/>
      <scheme val="minor"/>
    </font>
    <font>
      <sz val="11"/>
      <color rgb="FF969696"/>
      <name val="Calibri"/>
      <family val="2"/>
      <scheme val="minor"/>
    </font>
    <font>
      <b/>
      <sz val="11"/>
      <color rgb="FF969696"/>
      <name val="Calibri"/>
      <family val="2"/>
    </font>
    <font>
      <b/>
      <u/>
      <sz val="14"/>
      <color theme="1"/>
      <name val="Calibri"/>
      <family val="2"/>
      <scheme val="minor"/>
    </font>
    <font>
      <sz val="11"/>
      <color rgb="FF969696"/>
      <name val="Calibri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67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" fontId="0" fillId="0" borderId="0" xfId="0" applyNumberFormat="1" applyProtection="1">
      <protection hidden="1"/>
    </xf>
    <xf numFmtId="14" fontId="0" fillId="0" borderId="0" xfId="0" applyNumberFormat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left" vertic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left"/>
      <protection hidden="1"/>
    </xf>
    <xf numFmtId="0" fontId="2" fillId="0" borderId="0" xfId="0" applyFont="1"/>
    <xf numFmtId="0" fontId="4" fillId="0" borderId="0" xfId="0" applyFont="1"/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/>
    <xf numFmtId="167" fontId="0" fillId="0" borderId="0" xfId="0" applyNumberFormat="1"/>
    <xf numFmtId="0" fontId="0" fillId="0" borderId="0" xfId="0" applyAlignment="1" applyProtection="1">
      <alignment wrapText="1"/>
      <protection hidden="1"/>
    </xf>
    <xf numFmtId="0" fontId="0" fillId="0" borderId="2" xfId="0" applyBorder="1"/>
    <xf numFmtId="164" fontId="0" fillId="0" borderId="2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left"/>
    </xf>
    <xf numFmtId="0" fontId="0" fillId="0" borderId="3" xfId="0" applyBorder="1"/>
    <xf numFmtId="167" fontId="0" fillId="2" borderId="2" xfId="0" applyNumberFormat="1" applyFill="1" applyBorder="1" applyAlignment="1" applyProtection="1">
      <alignment horizontal="center" vertical="center"/>
      <protection locked="0"/>
    </xf>
    <xf numFmtId="165" fontId="1" fillId="2" borderId="2" xfId="0" applyNumberFormat="1" applyFont="1" applyFill="1" applyBorder="1" applyAlignment="1" applyProtection="1">
      <alignment horizontal="center" vertical="center"/>
      <protection locked="0"/>
    </xf>
    <xf numFmtId="165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4" fontId="2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0" fontId="13" fillId="0" borderId="2" xfId="0" applyFont="1" applyBorder="1"/>
    <xf numFmtId="166" fontId="13" fillId="0" borderId="2" xfId="0" applyNumberFormat="1" applyFont="1" applyBorder="1" applyAlignment="1">
      <alignment horizontal="center" vertical="center"/>
    </xf>
    <xf numFmtId="168" fontId="13" fillId="0" borderId="2" xfId="0" applyNumberFormat="1" applyFont="1" applyBorder="1" applyAlignment="1">
      <alignment horizontal="center" vertical="center"/>
    </xf>
    <xf numFmtId="166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/>
    <xf numFmtId="166" fontId="14" fillId="0" borderId="2" xfId="0" applyNumberFormat="1" applyFont="1" applyBorder="1" applyAlignment="1">
      <alignment horizontal="center" vertical="center"/>
    </xf>
    <xf numFmtId="168" fontId="14" fillId="0" borderId="2" xfId="0" applyNumberFormat="1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/>
    </xf>
    <xf numFmtId="169" fontId="13" fillId="0" borderId="2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wrapText="1"/>
    </xf>
    <xf numFmtId="0" fontId="0" fillId="0" borderId="4" xfId="0" applyBorder="1"/>
    <xf numFmtId="164" fontId="12" fillId="0" borderId="4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left" vertical="center"/>
    </xf>
    <xf numFmtId="166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6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4" fontId="0" fillId="0" borderId="0" xfId="0" applyNumberFormat="1"/>
    <xf numFmtId="0" fontId="13" fillId="4" borderId="2" xfId="0" applyFont="1" applyFill="1" applyBorder="1"/>
    <xf numFmtId="166" fontId="13" fillId="4" borderId="2" xfId="0" applyNumberFormat="1" applyFont="1" applyFill="1" applyBorder="1" applyAlignment="1">
      <alignment horizontal="center" vertical="center"/>
    </xf>
    <xf numFmtId="168" fontId="13" fillId="4" borderId="2" xfId="0" applyNumberFormat="1" applyFont="1" applyFill="1" applyBorder="1" applyAlignment="1">
      <alignment horizontal="center" vertical="center"/>
    </xf>
    <xf numFmtId="164" fontId="13" fillId="4" borderId="2" xfId="0" applyNumberFormat="1" applyFont="1" applyFill="1" applyBorder="1" applyAlignment="1">
      <alignment horizontal="center" vertical="center"/>
    </xf>
    <xf numFmtId="166" fontId="13" fillId="4" borderId="2" xfId="0" applyNumberFormat="1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0" fillId="3" borderId="10" xfId="0" applyFill="1" applyBorder="1"/>
    <xf numFmtId="164" fontId="13" fillId="0" borderId="2" xfId="0" applyNumberFormat="1" applyFont="1" applyBorder="1" applyAlignment="1">
      <alignment horizontal="center" vertical="center"/>
    </xf>
    <xf numFmtId="0" fontId="0" fillId="3" borderId="11" xfId="0" applyFill="1" applyBorder="1"/>
    <xf numFmtId="0" fontId="16" fillId="3" borderId="22" xfId="0" applyFont="1" applyFill="1" applyBorder="1" applyAlignment="1">
      <alignment horizontal="left" vertical="center"/>
    </xf>
    <xf numFmtId="0" fontId="0" fillId="3" borderId="23" xfId="0" applyFill="1" applyBorder="1"/>
    <xf numFmtId="0" fontId="19" fillId="0" borderId="0" xfId="0" applyFont="1" applyProtection="1">
      <protection hidden="1"/>
    </xf>
    <xf numFmtId="0" fontId="0" fillId="0" borderId="0" xfId="0" applyAlignment="1">
      <alignment vertical="center" wrapText="1"/>
    </xf>
    <xf numFmtId="170" fontId="0" fillId="0" borderId="0" xfId="0" applyNumberFormat="1"/>
    <xf numFmtId="14" fontId="0" fillId="0" borderId="24" xfId="0" applyNumberFormat="1" applyBorder="1" applyAlignment="1" applyProtection="1">
      <alignment horizontal="center"/>
      <protection hidden="1"/>
    </xf>
    <xf numFmtId="167" fontId="0" fillId="0" borderId="24" xfId="0" applyNumberFormat="1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24" xfId="0" applyBorder="1" applyProtection="1">
      <protection hidden="1"/>
    </xf>
    <xf numFmtId="0" fontId="0" fillId="0" borderId="24" xfId="0" applyBorder="1"/>
    <xf numFmtId="171" fontId="0" fillId="0" borderId="0" xfId="0" applyNumberFormat="1" applyAlignment="1">
      <alignment vertical="center" wrapText="1"/>
    </xf>
    <xf numFmtId="0" fontId="10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8" fillId="0" borderId="1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7" fontId="7" fillId="0" borderId="12" xfId="0" applyNumberFormat="1" applyFont="1" applyBorder="1" applyAlignment="1">
      <alignment horizontal="left" vertical="center" wrapText="1"/>
    </xf>
    <xf numFmtId="167" fontId="7" fillId="0" borderId="13" xfId="0" applyNumberFormat="1" applyFont="1" applyBorder="1" applyAlignment="1">
      <alignment horizontal="left" vertical="center" wrapText="1"/>
    </xf>
    <xf numFmtId="167" fontId="7" fillId="0" borderId="14" xfId="0" applyNumberFormat="1" applyFont="1" applyBorder="1" applyAlignment="1">
      <alignment horizontal="left" vertical="center" wrapText="1"/>
    </xf>
    <xf numFmtId="167" fontId="7" fillId="0" borderId="15" xfId="0" applyNumberFormat="1" applyFont="1" applyBorder="1" applyAlignment="1">
      <alignment horizontal="left" vertical="center" wrapText="1"/>
    </xf>
    <xf numFmtId="167" fontId="7" fillId="0" borderId="0" xfId="0" applyNumberFormat="1" applyFont="1" applyAlignment="1">
      <alignment horizontal="left" vertical="center" wrapText="1"/>
    </xf>
    <xf numFmtId="167" fontId="7" fillId="0" borderId="1" xfId="0" applyNumberFormat="1" applyFont="1" applyBorder="1" applyAlignment="1">
      <alignment horizontal="left" vertical="center" wrapText="1"/>
    </xf>
    <xf numFmtId="167" fontId="7" fillId="0" borderId="16" xfId="0" applyNumberFormat="1" applyFont="1" applyBorder="1" applyAlignment="1">
      <alignment horizontal="left" vertical="center" wrapText="1"/>
    </xf>
    <xf numFmtId="167" fontId="7" fillId="0" borderId="17" xfId="0" applyNumberFormat="1" applyFont="1" applyBorder="1" applyAlignment="1">
      <alignment horizontal="left" vertical="center" wrapText="1"/>
    </xf>
    <xf numFmtId="167" fontId="7" fillId="0" borderId="18" xfId="0" applyNumberFormat="1" applyFont="1" applyBorder="1" applyAlignment="1">
      <alignment horizontal="left" vertical="center" wrapText="1"/>
    </xf>
    <xf numFmtId="0" fontId="2" fillId="3" borderId="6" xfId="0" applyFont="1" applyFill="1" applyBorder="1" applyAlignment="1" applyProtection="1">
      <alignment horizontal="right"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3333CC"/>
      <color rgb="FF969696"/>
      <color rgb="FFCCECFF"/>
      <color rgb="FF99CCFF"/>
      <color rgb="FFB2B2B2"/>
      <color rgb="FFFFFFCC"/>
      <color rgb="FFFFFF99"/>
      <color rgb="FF00FF99"/>
      <color rgb="FF00990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T38"/>
  <sheetViews>
    <sheetView showGridLines="0" showRowColHeaders="0" tabSelected="1" showRuler="0" zoomScaleNormal="100" workbookViewId="0">
      <selection activeCell="C1" sqref="C1:N2"/>
    </sheetView>
  </sheetViews>
  <sheetFormatPr baseColWidth="10" defaultColWidth="11.453125" defaultRowHeight="14.5" x14ac:dyDescent="0.35"/>
  <cols>
    <col min="1" max="1" width="1.54296875" customWidth="1"/>
    <col min="2" max="2" width="56.81640625" bestFit="1" customWidth="1"/>
    <col min="3" max="3" width="4.7265625" bestFit="1" customWidth="1"/>
    <col min="4" max="4" width="12.1796875" style="1" bestFit="1" customWidth="1"/>
    <col min="5" max="5" width="9.7265625" style="1" bestFit="1" customWidth="1"/>
    <col min="6" max="7" width="26.81640625" style="1" hidden="1" customWidth="1"/>
    <col min="8" max="9" width="12.54296875" style="1" hidden="1" customWidth="1"/>
    <col min="10" max="10" width="12.81640625" style="1" hidden="1" customWidth="1"/>
    <col min="11" max="11" width="12.1796875" style="2" hidden="1" customWidth="1"/>
    <col min="12" max="12" width="7.1796875" hidden="1" customWidth="1"/>
    <col min="13" max="13" width="9.26953125" hidden="1" customWidth="1"/>
    <col min="14" max="14" width="14.54296875" customWidth="1"/>
    <col min="15" max="15" width="6.81640625" customWidth="1"/>
  </cols>
  <sheetData>
    <row r="1" spans="1:20" ht="18.5" x14ac:dyDescent="0.35">
      <c r="A1" s="71"/>
      <c r="B1" s="89" t="s">
        <v>0</v>
      </c>
      <c r="C1" s="105" t="s">
        <v>95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7"/>
    </row>
    <row r="2" spans="1:20" x14ac:dyDescent="0.35">
      <c r="A2" s="72"/>
      <c r="B2" s="90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9"/>
    </row>
    <row r="3" spans="1:20" x14ac:dyDescent="0.35">
      <c r="A3" s="68"/>
      <c r="B3" s="24"/>
      <c r="C3" s="24"/>
      <c r="D3" s="25"/>
      <c r="E3" s="25"/>
      <c r="F3" s="25"/>
      <c r="G3" s="25" t="s">
        <v>101</v>
      </c>
      <c r="H3" s="25" t="s">
        <v>99</v>
      </c>
      <c r="I3" s="25" t="s">
        <v>101</v>
      </c>
      <c r="J3" s="25" t="s">
        <v>98</v>
      </c>
      <c r="K3" s="26" t="s">
        <v>96</v>
      </c>
      <c r="L3" s="24"/>
      <c r="M3" s="24"/>
      <c r="N3" s="27"/>
    </row>
    <row r="4" spans="1:20" ht="15" customHeight="1" x14ac:dyDescent="0.35">
      <c r="A4" s="68"/>
      <c r="B4" s="24" t="s">
        <v>1</v>
      </c>
      <c r="C4" s="24" t="str">
        <f>IF(D4&lt;&gt;"",LOOKUP(WEEKDAY(D4),WoTage!$A$2:$B$8),"")</f>
        <v>Di.</v>
      </c>
      <c r="D4" s="28">
        <v>44866</v>
      </c>
      <c r="E4" s="96" t="s">
        <v>2</v>
      </c>
      <c r="F4" s="97"/>
      <c r="G4" s="97"/>
      <c r="H4" s="97"/>
      <c r="I4" s="97"/>
      <c r="J4" s="97"/>
      <c r="K4" s="97"/>
      <c r="L4" s="97"/>
      <c r="M4" s="97"/>
      <c r="N4" s="98"/>
      <c r="O4" s="22"/>
    </row>
    <row r="5" spans="1:20" x14ac:dyDescent="0.35">
      <c r="A5" s="68"/>
      <c r="B5" s="24" t="s">
        <v>3</v>
      </c>
      <c r="C5" s="24" t="str">
        <f>IF(D5&lt;&gt;"",LOOKUP(WEEKDAY(D5),WoTage!$A$2:$B$8),"")</f>
        <v/>
      </c>
      <c r="D5" s="28"/>
      <c r="E5" s="99"/>
      <c r="F5" s="100"/>
      <c r="G5" s="100"/>
      <c r="H5" s="100"/>
      <c r="I5" s="100"/>
      <c r="J5" s="100"/>
      <c r="K5" s="100"/>
      <c r="L5" s="100"/>
      <c r="M5" s="100"/>
      <c r="N5" s="101"/>
    </row>
    <row r="6" spans="1:20" ht="15.5" x14ac:dyDescent="0.35">
      <c r="A6" s="68"/>
      <c r="B6" s="24" t="s">
        <v>4</v>
      </c>
      <c r="C6" s="24"/>
      <c r="D6" s="29"/>
      <c r="E6" s="99"/>
      <c r="F6" s="100"/>
      <c r="G6" s="100"/>
      <c r="H6" s="100"/>
      <c r="I6" s="100"/>
      <c r="J6" s="100"/>
      <c r="K6" s="100"/>
      <c r="L6" s="100"/>
      <c r="M6" s="100"/>
      <c r="N6" s="101"/>
    </row>
    <row r="7" spans="1:20" ht="15.5" x14ac:dyDescent="0.35">
      <c r="A7" s="68"/>
      <c r="B7" s="24" t="s">
        <v>5</v>
      </c>
      <c r="C7" s="24"/>
      <c r="D7" s="29"/>
      <c r="E7" s="102"/>
      <c r="F7" s="103"/>
      <c r="G7" s="103"/>
      <c r="H7" s="103"/>
      <c r="I7" s="103"/>
      <c r="J7" s="103"/>
      <c r="K7" s="103"/>
      <c r="L7" s="103"/>
      <c r="M7" s="103"/>
      <c r="N7" s="104"/>
    </row>
    <row r="8" spans="1:20" ht="15.5" x14ac:dyDescent="0.35">
      <c r="A8" s="68"/>
      <c r="B8" s="24"/>
      <c r="C8" s="24"/>
      <c r="D8" s="30"/>
      <c r="E8" s="31"/>
      <c r="F8" s="32">
        <f>DATE(YEAR(D4),MONTH(D4)+D6,DAY(D4))</f>
        <v>44866</v>
      </c>
      <c r="G8" s="32"/>
      <c r="H8" s="32"/>
      <c r="I8" s="32"/>
      <c r="J8" s="31"/>
      <c r="K8" s="31"/>
      <c r="L8" s="31"/>
      <c r="M8" s="31"/>
      <c r="N8" s="33"/>
    </row>
    <row r="9" spans="1:20" ht="18.5" x14ac:dyDescent="0.45">
      <c r="A9" s="68"/>
      <c r="B9" s="34" t="s">
        <v>6</v>
      </c>
      <c r="C9" s="94" t="s">
        <v>7</v>
      </c>
      <c r="D9" s="95"/>
      <c r="E9" s="35" t="s">
        <v>8</v>
      </c>
      <c r="F9" s="35"/>
      <c r="G9" s="35"/>
      <c r="H9" s="35"/>
      <c r="I9" s="35"/>
      <c r="J9" s="30"/>
      <c r="K9" s="36"/>
      <c r="L9" s="24"/>
      <c r="M9" s="24"/>
      <c r="N9" s="88" t="s">
        <v>9</v>
      </c>
    </row>
    <row r="10" spans="1:20" ht="60" hidden="1" customHeight="1" x14ac:dyDescent="0.35">
      <c r="A10" s="68"/>
      <c r="B10" s="37"/>
      <c r="C10" s="37"/>
      <c r="D10" s="38" t="s">
        <v>10</v>
      </c>
      <c r="E10" s="38" t="s">
        <v>11</v>
      </c>
      <c r="F10" s="38"/>
      <c r="G10" s="38"/>
      <c r="H10" s="38"/>
      <c r="I10" s="38"/>
      <c r="J10" s="38" t="s">
        <v>12</v>
      </c>
      <c r="K10" s="38" t="s">
        <v>13</v>
      </c>
      <c r="L10" s="37" t="s">
        <v>14</v>
      </c>
      <c r="M10" s="37" t="s">
        <v>15</v>
      </c>
      <c r="N10" s="39"/>
    </row>
    <row r="11" spans="1:20" x14ac:dyDescent="0.35">
      <c r="A11" s="68"/>
      <c r="B11" s="24" t="s">
        <v>16</v>
      </c>
      <c r="C11" s="91" t="str">
        <f>IF(MONTH(F8)=5,"15. Okt. "&amp;1+YEAR(F8)&amp;" - 31. Jan. " &amp;2+YEAR(F8),"15. Apr. "&amp;2+YEAR(F8)&amp;" - 30. Jun. " &amp;2+YEAR(F8))</f>
        <v>15. Apr. 2024 - 30. Jun. 2024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3"/>
      <c r="O11" s="23"/>
      <c r="P11" s="19"/>
      <c r="Q11" s="19"/>
      <c r="R11" s="19"/>
      <c r="S11" s="19"/>
      <c r="T11" s="19"/>
    </row>
    <row r="12" spans="1:20" hidden="1" x14ac:dyDescent="0.35">
      <c r="A12" s="68"/>
      <c r="B12" s="40" t="s">
        <v>17</v>
      </c>
      <c r="C12" s="41" t="str">
        <f>IF(D12&lt;&gt;"",LOOKUP(WEEKDAY(D12),WoTage!$A$2:$B$8),"")</f>
        <v>Di.</v>
      </c>
      <c r="D12" s="42">
        <f t="shared" ref="D12:D13" si="0">IF(WEEKDAY(H12)=1,H12+1,IF(WEEKDAY(H12)=7,H12+2,H12))</f>
        <v>45139</v>
      </c>
      <c r="E12" s="43">
        <f>IF(C12="Fr.",TIME(12,0,0),TIME(16,0,0))</f>
        <v>0.66666666666666663</v>
      </c>
      <c r="F12" s="43"/>
      <c r="G12" s="42">
        <f>IF(WEEKDAY(H12)=1,H12+1,IF(WEEKDAY(H12)=7,H12+2,H12))</f>
        <v>45139</v>
      </c>
      <c r="H12" s="42">
        <f>IF(LOOKUP(I12,Feiertage!$B$3:$D$34,Feiertage!$B$3:$B$34)=(I12),I12+VLOOKUP(I12,Feiertage!$B$3:$E$34,4,FALSE),I12)</f>
        <v>45139</v>
      </c>
      <c r="I12" s="42">
        <f>IF(WEEKDAY(J12)=1,J12+1,IF(WEEKDAY(J12)=7,J12+2,J12))</f>
        <v>45139</v>
      </c>
      <c r="J12" s="50">
        <f>IF(LOOKUP(K12,Feiertage!$B$3:$D$34,Feiertage!$B$3:$B$34)=K12,K12+LOOKUP(K12,Feiertage!$B$3:$D$34),K12)</f>
        <v>45139</v>
      </c>
      <c r="K12" s="44">
        <f>EDATE(D4,9+D6)</f>
        <v>45139</v>
      </c>
      <c r="L12" s="45" t="str">
        <f>IF(K12&lt;&gt;"",LOOKUP(WEEKDAY(K12),WoTage!$A$2:$B$8),"")</f>
        <v>Di.</v>
      </c>
      <c r="M12" s="45">
        <f>IF(LOOKUP(D12,Feiertage!$B$3:$D$34,Feiertage!$B2:$B33)=D12,1,IF(WEEKDAY(D12)=1,1,IF(WEEKDAY(D12)=7,1,0)))</f>
        <v>0</v>
      </c>
      <c r="N12" s="82" t="s">
        <v>18</v>
      </c>
      <c r="O12" s="20"/>
      <c r="P12" s="20"/>
      <c r="Q12" s="20"/>
      <c r="R12" s="20"/>
      <c r="S12" s="20"/>
      <c r="T12" s="20"/>
    </row>
    <row r="13" spans="1:20" hidden="1" x14ac:dyDescent="0.35">
      <c r="A13" s="68"/>
      <c r="B13" s="46" t="s">
        <v>19</v>
      </c>
      <c r="C13" s="47" t="str">
        <f>IF(D13&lt;&gt;"",LOOKUP(WEEKDAY(D13),WoTage!$A$2:$B$8),"")</f>
        <v>Di.</v>
      </c>
      <c r="D13" s="48">
        <f t="shared" si="0"/>
        <v>45139</v>
      </c>
      <c r="E13" s="49"/>
      <c r="F13" s="49"/>
      <c r="G13" s="42">
        <f t="shared" ref="G13:G29" si="1">IF(WEEKDAY(H13)=1,H13+1,IF(WEEKDAY(H13)=7,H13+2,H13))</f>
        <v>45139</v>
      </c>
      <c r="H13" s="42">
        <f>IF(LOOKUP(I13,Feiertage!$B$3:$D$34,Feiertage!$B$3:$B$34)=(I13),I13+VLOOKUP(I13,Feiertage!$B$3:$E$34,4,FALSE),I13)</f>
        <v>45139</v>
      </c>
      <c r="I13" s="42">
        <f t="shared" ref="I13:I28" si="2">IF(WEEKDAY(J13)=1,J13+1,IF(WEEKDAY(J13)=7,J13+2,J13))</f>
        <v>45139</v>
      </c>
      <c r="J13" s="50">
        <f>IF(LOOKUP(K13,Feiertage!$B$3:$D$34,Feiertage!$B$3:$B$34)=K13,K13+LOOKUP(K13,Feiertage!$B$3:$D$34),K13)</f>
        <v>45139</v>
      </c>
      <c r="K13" s="51">
        <f>EDATE(D4,9+D6)</f>
        <v>45139</v>
      </c>
      <c r="L13" s="36" t="str">
        <f>IF(K13&lt;&gt;"",LOOKUP(WEEKDAY(K13),WoTage!$A$2:$B$8),"")</f>
        <v>Di.</v>
      </c>
      <c r="M13" s="36">
        <f>IF(LOOKUP(D13,Feiertage!$B$3:$D$34,Feiertage!$B2:$B33)=D13,1,IF(WEEKDAY(D13)=1,1,IF(WEEKDAY(D13)=7,1,0)))</f>
        <v>0</v>
      </c>
      <c r="N13" s="83" t="s">
        <v>20</v>
      </c>
      <c r="O13" s="20"/>
      <c r="P13" s="20"/>
      <c r="Q13" s="20"/>
      <c r="R13" s="20"/>
      <c r="S13" s="20"/>
      <c r="T13" s="20"/>
    </row>
    <row r="14" spans="1:20" hidden="1" x14ac:dyDescent="0.35">
      <c r="A14" s="68"/>
      <c r="B14" s="47" t="s">
        <v>21</v>
      </c>
      <c r="C14" s="47" t="str">
        <f>IF(D14&lt;&gt;"",LOOKUP(WEEKDAY(D14),WoTage!$A$2:$B$8),"")</f>
        <v>Mo.</v>
      </c>
      <c r="D14" s="48">
        <f>IF(WEEKDAY(H14)=1,H14+1,IF(WEEKDAY(H14)=7,H14+2,H14))</f>
        <v>45201</v>
      </c>
      <c r="E14" s="49">
        <f t="shared" ref="E14:E18" si="3">IF(C14="Fr.",TIME(12,0,0),TIME(16,0,0))</f>
        <v>0.66666666666666663</v>
      </c>
      <c r="F14" s="49"/>
      <c r="G14" s="42">
        <f t="shared" si="1"/>
        <v>45201</v>
      </c>
      <c r="H14" s="42">
        <f>IF(LOOKUP(I14,Feiertage!$B$3:$D$34,Feiertage!$B$3:$B$34)=(I14),I14+VLOOKUP(I14,Feiertage!$B$3:$E$34,4,FALSE),I14)</f>
        <v>45201</v>
      </c>
      <c r="I14" s="42">
        <f t="shared" si="2"/>
        <v>45201</v>
      </c>
      <c r="J14" s="48">
        <f>IF(LOOKUP(K14,Feiertage!$B$3:$D$34,Feiertage!$B$3:$B$34)=K14,K14+LOOKUP(K14,Feiertage!$B$3:$D$34),K14)</f>
        <v>45200</v>
      </c>
      <c r="K14" s="59">
        <f>EDATE(K15,-5)</f>
        <v>45200</v>
      </c>
      <c r="L14" s="60" t="str">
        <f>IF(K14&lt;&gt;"",LOOKUP(WEEKDAY(K14),WoTage!$A$2:$B$8),"")</f>
        <v>So.</v>
      </c>
      <c r="M14" s="60">
        <f>IF(LOOKUP(D14,Feiertage!$B$3:$D$34,Feiertage!$B3:$B34)=D14,1,IF(WEEKDAY(D14)=1,1,IF(WEEKDAY(D14)=7,1,0)))</f>
        <v>0</v>
      </c>
      <c r="N14" s="84" t="s">
        <v>22</v>
      </c>
      <c r="O14" s="20"/>
      <c r="P14" s="20"/>
      <c r="Q14" s="20"/>
      <c r="R14" s="20"/>
      <c r="S14" s="20"/>
      <c r="T14" s="20"/>
    </row>
    <row r="15" spans="1:20" hidden="1" x14ac:dyDescent="0.35">
      <c r="A15" s="68"/>
      <c r="B15" s="41" t="s">
        <v>23</v>
      </c>
      <c r="C15" s="41" t="str">
        <f>IF(D15&lt;&gt;"",LOOKUP(WEEKDAY(D15),WoTage!$A$2:$B$8),"")</f>
        <v>Fr.</v>
      </c>
      <c r="D15" s="42">
        <f>IF(LOOKUP(F15,Feiertage!$B$3:$D$34,Feiertage!$B$3:$B$34)=F15,F15+LOOKUP(F15,Feiertage!$B$3:$D$34),F15)</f>
        <v>45352</v>
      </c>
      <c r="E15" s="43">
        <f>IF(C15="Fr.",TIME(12,0,0),TIME(16,0,0))</f>
        <v>0.5</v>
      </c>
      <c r="F15" s="69">
        <f>IF(WEEKDAY(G15)=1,G15+1,IF(WEEKDAY(G15)=7,G15+2,G15))</f>
        <v>45352</v>
      </c>
      <c r="G15" s="42">
        <f t="shared" si="1"/>
        <v>45352</v>
      </c>
      <c r="H15" s="42">
        <f>IF(LOOKUP(I15,Feiertage!$B$3:$D$34,Feiertage!$B$3:$B$34)=(I15),I15+VLOOKUP(I15,Feiertage!$B$3:$E$34,4,FALSE),I15)</f>
        <v>45352</v>
      </c>
      <c r="I15" s="42">
        <f t="shared" si="2"/>
        <v>45352</v>
      </c>
      <c r="J15" s="42">
        <f>IF(LOOKUP(K15,Feiertage!$B$3:$D$34,Feiertage!$B$3:$B$34)=K15,K15+LOOKUP(K15,Feiertage!$B$3:$D$34),K15)</f>
        <v>45352</v>
      </c>
      <c r="K15" s="44">
        <f>IF(D4&gt;DATE(2017,11,1),EOMONTH(D4,15+D6)+1+D7,EOMONTH(D4,16+D6)+1+D7)</f>
        <v>45352</v>
      </c>
      <c r="L15" s="45" t="str">
        <f>IF(K15&lt;&gt;"",LOOKUP(WEEKDAY(K15),WoTage!$A$2:$B$8),"")</f>
        <v>Fr.</v>
      </c>
      <c r="M15" s="45">
        <f>IF(LOOKUP(D15,Feiertage!$B$3:$D$34,Feiertage!$B7:$B38)=D15,1,IF(WEEKDAY(D15)=1,1,IF(WEEKDAY(D15)=7,1,0)))</f>
        <v>0</v>
      </c>
      <c r="N15" s="82" t="s">
        <v>18</v>
      </c>
      <c r="O15" s="20"/>
      <c r="P15" s="20"/>
      <c r="Q15" s="20"/>
      <c r="R15" s="20"/>
      <c r="S15" s="20"/>
      <c r="T15" s="20"/>
    </row>
    <row r="16" spans="1:20" x14ac:dyDescent="0.35">
      <c r="A16" s="68"/>
      <c r="B16" s="62" t="s">
        <v>24</v>
      </c>
      <c r="C16" s="62" t="str">
        <f>IF(D16&lt;&gt;"",LOOKUP(WEEKDAY(D16),WoTage!$A$2:$B$8),"")</f>
        <v>Do.</v>
      </c>
      <c r="D16" s="63">
        <f>IF(LOOKUP(F16,Feiertage!$B$3:$D$34,Feiertage!$B$3:$B$34)=F16,F16+LOOKUP(F16,Feiertage!$B$3:$D$34),F16)</f>
        <v>45379</v>
      </c>
      <c r="E16" s="64">
        <f t="shared" si="3"/>
        <v>0.66666666666666663</v>
      </c>
      <c r="F16" s="65">
        <f>IF(WEEKDAY(J16)=1,J16-2,IF(WEEKDAY(J16)=7,J16-1,J16))</f>
        <v>45379</v>
      </c>
      <c r="G16" s="42">
        <f t="shared" si="1"/>
        <v>45379</v>
      </c>
      <c r="H16" s="42">
        <f>IF(LOOKUP(I16,Feiertage!$B$3:$D$34,Feiertage!$B$3:$B$34)=(I16),I16+VLOOKUP(I16,Feiertage!$B$3:$E$34,4,FALSE),I16)</f>
        <v>45379</v>
      </c>
      <c r="I16" s="42">
        <f t="shared" si="2"/>
        <v>45379</v>
      </c>
      <c r="J16" s="63">
        <f>IF(LOOKUP(K16,Feiertage!$B$3:$D$34,Feiertage!$B$3:$B$34)=K16,K16+LOOKUP(K16,Feiertage!$B$3:$D$34),K16)</f>
        <v>45379</v>
      </c>
      <c r="K16" s="66">
        <f>EOMONTH(D4,16+D6)+1</f>
        <v>45383</v>
      </c>
      <c r="L16" s="67" t="str">
        <f>IF(K16&lt;&gt;"",LOOKUP(WEEKDAY(K16),WoTage!$A$2:$B$8),"")</f>
        <v>Mo.</v>
      </c>
      <c r="M16" s="67">
        <f>IF(LOOKUP(D16,Feiertage!$B$3:$D$34,Feiertage!$B4:$B35)=D16,1,IF(WEEKDAY(D16)=1,1,IF(WEEKDAY(D16)=7,1,0)))</f>
        <v>0</v>
      </c>
      <c r="N16" s="85" t="s">
        <v>18</v>
      </c>
      <c r="O16" s="20"/>
      <c r="P16" s="20"/>
      <c r="Q16" s="20"/>
      <c r="R16" s="20"/>
      <c r="S16" s="20"/>
      <c r="T16" s="20"/>
    </row>
    <row r="17" spans="1:20" x14ac:dyDescent="0.35">
      <c r="A17" s="68"/>
      <c r="B17" s="62" t="s">
        <v>105</v>
      </c>
      <c r="C17" s="62" t="str">
        <f>IF(D17&lt;&gt;"",LOOKUP(WEEKDAY(D17),WoTage!$A$2:$B$8),"")</f>
        <v>Do.</v>
      </c>
      <c r="D17" s="63">
        <f>D16</f>
        <v>45379</v>
      </c>
      <c r="E17" s="64">
        <f t="shared" si="3"/>
        <v>0.66666666666666663</v>
      </c>
      <c r="F17" s="65"/>
      <c r="G17" s="42"/>
      <c r="H17" s="42"/>
      <c r="I17" s="42"/>
      <c r="J17" s="63"/>
      <c r="K17" s="66"/>
      <c r="L17" s="67"/>
      <c r="M17" s="67">
        <f>IF(LOOKUP(D17,Feiertage!$B$3:$D$34,Feiertage!$B5:$B36)=D17,1,IF(WEEKDAY(D17)=1,1,IF(WEEKDAY(D17)=7,1,0)))</f>
        <v>0</v>
      </c>
      <c r="N17" s="85" t="s">
        <v>18</v>
      </c>
      <c r="O17" s="20"/>
      <c r="P17" s="20"/>
      <c r="Q17" s="20"/>
      <c r="R17" s="20"/>
      <c r="S17" s="20"/>
      <c r="T17" s="20"/>
    </row>
    <row r="18" spans="1:20" x14ac:dyDescent="0.35">
      <c r="A18" s="68"/>
      <c r="B18" s="62" t="s">
        <v>26</v>
      </c>
      <c r="C18" s="62" t="str">
        <f>IF(D18&lt;&gt;"",LOOKUP(WEEKDAY(D18),WoTage!$A$2:$B$8),"")</f>
        <v>Do.</v>
      </c>
      <c r="D18" s="63">
        <f>D16</f>
        <v>45379</v>
      </c>
      <c r="E18" s="64">
        <f t="shared" si="3"/>
        <v>0.66666666666666663</v>
      </c>
      <c r="F18" s="65"/>
      <c r="G18" s="42"/>
      <c r="H18" s="42"/>
      <c r="I18" s="42"/>
      <c r="J18" s="63"/>
      <c r="K18" s="66"/>
      <c r="L18" s="67"/>
      <c r="M18" s="67">
        <f>IF(LOOKUP(D18,Feiertage!$B$3:$D$34,Feiertage!$B6:$B37)=D18,1,IF(WEEKDAY(D18)=1,1,IF(WEEKDAY(D18)=7,1,0)))</f>
        <v>0</v>
      </c>
      <c r="N18" s="85" t="s">
        <v>18</v>
      </c>
      <c r="O18" s="20"/>
      <c r="P18" s="20"/>
      <c r="Q18" s="20"/>
      <c r="R18" s="20"/>
      <c r="S18" s="20"/>
      <c r="T18" s="20"/>
    </row>
    <row r="19" spans="1:20" x14ac:dyDescent="0.35">
      <c r="A19" s="68"/>
      <c r="B19" s="47" t="s">
        <v>27</v>
      </c>
      <c r="C19" s="47" t="str">
        <f>IF(D19&lt;&gt;"",LOOKUP(WEEKDAY(D19),WoTage!$A$2:$B$8),"")</f>
        <v>Do.</v>
      </c>
      <c r="D19" s="48">
        <f>D16</f>
        <v>45379</v>
      </c>
      <c r="E19" s="49">
        <f t="shared" ref="E19:E25" si="4">IF(C19="Fr.",TIME(12,0,0),TIME(16,0,0))</f>
        <v>0.66666666666666663</v>
      </c>
      <c r="F19" s="49"/>
      <c r="G19" s="42"/>
      <c r="H19" s="42"/>
      <c r="I19" s="42"/>
      <c r="J19" s="50"/>
      <c r="K19" s="51"/>
      <c r="L19" s="36" t="str">
        <f>IF(K19&lt;&gt;"",LOOKUP(WEEKDAY(K19),WoTage!$A$2:$B$8),"")</f>
        <v/>
      </c>
      <c r="M19" s="36">
        <f>IF(LOOKUP(D19,Feiertage!$B$3:$D$34,Feiertage!$B8:$B39)=D19,1,IF(WEEKDAY(D19)=1,1,IF(WEEKDAY(D19)=7,1,0)))</f>
        <v>0</v>
      </c>
      <c r="N19" s="83" t="s">
        <v>28</v>
      </c>
      <c r="O19" s="20"/>
      <c r="P19" s="20"/>
      <c r="Q19" s="20"/>
      <c r="R19" s="20"/>
      <c r="S19" s="20"/>
      <c r="T19" s="20"/>
    </row>
    <row r="20" spans="1:20" x14ac:dyDescent="0.35">
      <c r="A20" s="68"/>
      <c r="B20" s="41" t="s">
        <v>29</v>
      </c>
      <c r="C20" s="41" t="str">
        <f>IF(D20&lt;&gt;"",LOOKUP(WEEKDAY(D20),WoTage!$A$2:$B$8),"")</f>
        <v>Do.</v>
      </c>
      <c r="D20" s="42">
        <f>D16</f>
        <v>45379</v>
      </c>
      <c r="E20" s="43">
        <f t="shared" si="4"/>
        <v>0.66666666666666663</v>
      </c>
      <c r="F20" s="43"/>
      <c r="G20" s="42"/>
      <c r="H20" s="42"/>
      <c r="I20" s="42"/>
      <c r="J20" s="42"/>
      <c r="K20" s="44"/>
      <c r="L20" s="45"/>
      <c r="M20" s="45"/>
      <c r="N20" s="82" t="s">
        <v>18</v>
      </c>
      <c r="O20" s="20"/>
      <c r="P20" s="20"/>
      <c r="Q20" s="20"/>
      <c r="R20" s="20"/>
      <c r="S20" s="20"/>
      <c r="T20" s="20"/>
    </row>
    <row r="21" spans="1:20" hidden="1" x14ac:dyDescent="0.35">
      <c r="A21" s="68"/>
      <c r="B21" s="41" t="s">
        <v>30</v>
      </c>
      <c r="C21" s="41" t="str">
        <f>IF(D21&lt;&gt;"",LOOKUP(WEEKDAY(D21),WoTage!$A$2:$B$8),"")</f>
        <v>Do.</v>
      </c>
      <c r="D21" s="42">
        <f>IF(WEEKDAY(H21)=1,H21-2,IF(WEEKDAY(H21)=7,H21-1,H21))</f>
        <v>45379</v>
      </c>
      <c r="E21" s="43">
        <f t="shared" si="4"/>
        <v>0.66666666666666663</v>
      </c>
      <c r="F21" s="43"/>
      <c r="G21" s="42">
        <f t="shared" si="1"/>
        <v>45379</v>
      </c>
      <c r="H21" s="42">
        <f>IF(LOOKUP(I21,Feiertage!$B$3:$D$34,Feiertage!$B$3:$B$34)=(I21),I21+VLOOKUP(I21,Feiertage!$B$3:$E$34,4,FALSE),I21)</f>
        <v>45379</v>
      </c>
      <c r="I21" s="42">
        <f t="shared" si="2"/>
        <v>45379</v>
      </c>
      <c r="J21" s="42">
        <f>IF(LOOKUP(K21,Feiertage!$B$3:$D$34,Feiertage!$B$3:$B$34)=K21,K21+LOOKUP(K21,Feiertage!$B$3:$D$34),K21)</f>
        <v>45379</v>
      </c>
      <c r="K21" s="44">
        <f>IF(OR(MONTH(D5)=4,MONTH(D5)=10),D5-28,D16)</f>
        <v>45379</v>
      </c>
      <c r="L21" s="45" t="str">
        <f>IF(K21&lt;&gt;"",LOOKUP(WEEKDAY(K21),WoTage!$A$2:$B$8),"")</f>
        <v>Do.</v>
      </c>
      <c r="M21" s="45">
        <f>IF(LOOKUP(D21,Feiertage!$B$3:$D$34,Feiertage!$B9:$B40)=D21,1,IF(WEEKDAY(D21)=1,1,IF(WEEKDAY(D21)=7,1,0)))</f>
        <v>0</v>
      </c>
      <c r="N21" s="82" t="s">
        <v>18</v>
      </c>
      <c r="O21" s="20"/>
      <c r="P21" s="20"/>
      <c r="Q21" s="20"/>
      <c r="R21" s="20"/>
      <c r="S21" s="20"/>
      <c r="T21" s="20"/>
    </row>
    <row r="22" spans="1:20" x14ac:dyDescent="0.35">
      <c r="A22" s="68"/>
      <c r="B22" s="47" t="s">
        <v>31</v>
      </c>
      <c r="C22" s="47" t="e">
        <f>IF(D22&lt;&gt;"",LOOKUP(WEEKDAY(D22),WoTage!$A$2:$B$8),"")</f>
        <v>#N/A</v>
      </c>
      <c r="D22" s="48" t="e">
        <f t="shared" ref="D22:D28" si="5">IF(WEEKDAY(H22)=1,H22-2,IF(WEEKDAY(H22)=7,H22-1,H22))</f>
        <v>#N/A</v>
      </c>
      <c r="E22" s="49"/>
      <c r="F22" s="49"/>
      <c r="G22" s="42" t="e">
        <f t="shared" si="1"/>
        <v>#N/A</v>
      </c>
      <c r="H22" s="42" t="e">
        <f>IF(LOOKUP(I22,Feiertage!$B$3:$D$34,Feiertage!$B$3:$B$34)=(I22),I22+VLOOKUP(I22,Feiertage!$B$3:$E$34,4,FALSE),I22)</f>
        <v>#N/A</v>
      </c>
      <c r="I22" s="42" t="e">
        <f t="shared" si="2"/>
        <v>#N/A</v>
      </c>
      <c r="J22" s="50" t="e">
        <f>IF(LOOKUP(K22,Feiertage!$B$3:$D$34,Feiertage!$B$3:$B$34)=K22,K22+LOOKUP(K22,Feiertage!$B$3:$D$34),K22)</f>
        <v>#N/A</v>
      </c>
      <c r="K22" s="51">
        <f>D5-28</f>
        <v>-28</v>
      </c>
      <c r="L22" s="36" t="e">
        <f>IF(K22&lt;&gt;"",LOOKUP(WEEKDAY(K22),WoTage!$A$2:$B$8),"")</f>
        <v>#NUM!</v>
      </c>
      <c r="M22" s="36" t="e">
        <f>IF(LOOKUP(D22,Feiertage!$B$3:$D$34,Feiertage!$B10:$B41)=D22,1,IF(WEEKDAY(D22)=1,1,IF(WEEKDAY(D22)=7,1,0)))</f>
        <v>#N/A</v>
      </c>
      <c r="N22" s="83" t="s">
        <v>20</v>
      </c>
      <c r="O22" s="20"/>
      <c r="P22" s="20"/>
      <c r="Q22" s="20"/>
      <c r="R22" s="20"/>
      <c r="S22" s="20"/>
      <c r="T22" s="20"/>
    </row>
    <row r="23" spans="1:20" hidden="1" x14ac:dyDescent="0.35">
      <c r="A23" s="68"/>
      <c r="B23" s="47" t="s">
        <v>32</v>
      </c>
      <c r="C23" s="47" t="e">
        <f>IF(D23&lt;&gt;"",LOOKUP(WEEKDAY(D23),WoTage!$A$2:$B$8),"")</f>
        <v>#N/A</v>
      </c>
      <c r="D23" s="48" t="e">
        <f t="shared" si="5"/>
        <v>#N/A</v>
      </c>
      <c r="E23" s="49" t="e">
        <f t="shared" si="4"/>
        <v>#N/A</v>
      </c>
      <c r="F23" s="49"/>
      <c r="G23" s="42" t="e">
        <f t="shared" si="1"/>
        <v>#N/A</v>
      </c>
      <c r="H23" s="42" t="e">
        <f>IF(LOOKUP(I23,Feiertage!$B$3:$D$34,Feiertage!$B$3:$B$34)=(I23),I23+VLOOKUP(I23,Feiertage!$B$3:$E$34,4,FALSE),I23)</f>
        <v>#N/A</v>
      </c>
      <c r="I23" s="42" t="e">
        <f t="shared" si="2"/>
        <v>#N/A</v>
      </c>
      <c r="J23" s="50" t="e">
        <f>IF(LOOKUP(K23,Feiertage!$B$3:$D$34,Feiertage!$B$3:$B$34)=K23,K23+LOOKUP(K23,Feiertage!$B$3:$D$34),K23)</f>
        <v>#N/A</v>
      </c>
      <c r="K23" s="51">
        <f>D5-14</f>
        <v>-14</v>
      </c>
      <c r="L23" s="36" t="e">
        <f>IF(K23&lt;&gt;"",LOOKUP(WEEKDAY(K23),WoTage!$A$2:$B$8),"")</f>
        <v>#NUM!</v>
      </c>
      <c r="M23" s="36" t="e">
        <f>IF(LOOKUP(D23,Feiertage!$B$3:$D$34,Feiertage!$B11:$B42)=D23,1,IF(WEEKDAY(D23)=1,1,IF(WEEKDAY(D23)=7,1,0)))</f>
        <v>#N/A</v>
      </c>
      <c r="N23" s="83" t="s">
        <v>33</v>
      </c>
      <c r="O23" s="20"/>
      <c r="P23" s="20"/>
      <c r="Q23" s="20"/>
      <c r="R23" s="20"/>
      <c r="S23" s="20"/>
      <c r="T23" s="20"/>
    </row>
    <row r="24" spans="1:20" s="21" customFormat="1" hidden="1" x14ac:dyDescent="0.35">
      <c r="A24" s="68"/>
      <c r="B24" s="47" t="s">
        <v>34</v>
      </c>
      <c r="C24" s="47" t="e">
        <f>IF(D24&lt;&gt;"",LOOKUP(WEEKDAY(D24),WoTage!$A$2:$B$8),"")</f>
        <v>#N/A</v>
      </c>
      <c r="D24" s="48" t="e">
        <f t="shared" si="5"/>
        <v>#N/A</v>
      </c>
      <c r="E24" s="49" t="e">
        <f t="shared" si="4"/>
        <v>#N/A</v>
      </c>
      <c r="F24" s="49"/>
      <c r="G24" s="42" t="e">
        <f t="shared" si="1"/>
        <v>#N/A</v>
      </c>
      <c r="H24" s="42" t="e">
        <f>IF(LOOKUP(I24,Feiertage!$B$3:$D$34,Feiertage!$B$3:$B$34)=(I24),I24+VLOOKUP(I24,Feiertage!$B$3:$E$34,4,FALSE),I24)</f>
        <v>#N/A</v>
      </c>
      <c r="I24" s="42" t="e">
        <f t="shared" si="2"/>
        <v>#N/A</v>
      </c>
      <c r="J24" s="50" t="e">
        <f>IF(LOOKUP(K24,Feiertage!$B$3:$D$34,Feiertage!$B$3:$B$34)=K24,K24+LOOKUP(K24,Feiertage!$B$3:$D$34),K24)</f>
        <v>#N/A</v>
      </c>
      <c r="K24" s="51">
        <f>D5-12</f>
        <v>-12</v>
      </c>
      <c r="L24" s="36" t="e">
        <f>IF(K24&lt;&gt;"",LOOKUP(WEEKDAY(K24),WoTage!$A$2:$B$8),"")</f>
        <v>#NUM!</v>
      </c>
      <c r="M24" s="36" t="e">
        <f>IF(LOOKUP(D24,Feiertage!$B$3:$D$34,Feiertage!$B13:$B44)=D24,1,IF(WEEKDAY(D24)=1,1,IF(WEEKDAY(D24)=7,1,0)))</f>
        <v>#N/A</v>
      </c>
      <c r="N24" s="83" t="s">
        <v>22</v>
      </c>
      <c r="O24" s="20"/>
      <c r="P24" s="20"/>
      <c r="Q24" s="20"/>
      <c r="R24" s="20"/>
      <c r="S24" s="20"/>
      <c r="T24" s="20"/>
    </row>
    <row r="25" spans="1:20" x14ac:dyDescent="0.35">
      <c r="A25" s="68"/>
      <c r="B25" s="41" t="s">
        <v>102</v>
      </c>
      <c r="C25" s="41" t="e">
        <f>IF(D25&lt;&gt;"",LOOKUP(WEEKDAY(D25),WoTage!$A$2:$B$8),"")</f>
        <v>#N/A</v>
      </c>
      <c r="D25" s="42" t="e">
        <f t="shared" si="5"/>
        <v>#N/A</v>
      </c>
      <c r="E25" s="43" t="e">
        <f t="shared" si="4"/>
        <v>#N/A</v>
      </c>
      <c r="F25" s="43"/>
      <c r="G25" s="42" t="e">
        <f t="shared" si="1"/>
        <v>#N/A</v>
      </c>
      <c r="H25" s="42" t="e">
        <f>IF(LOOKUP(I25,Feiertage!$B$3:$D$34,Feiertage!$B$3:$B$34)=(I25),I25+VLOOKUP(I25,Feiertage!$B$3:$E$34,4,FALSE),I25)</f>
        <v>#N/A</v>
      </c>
      <c r="I25" s="42" t="e">
        <f t="shared" si="2"/>
        <v>#N/A</v>
      </c>
      <c r="J25" s="42" t="e">
        <f>IF(LOOKUP(K25,Feiertage!$B$3:$D$34,Feiertage!$B$3:$B$34)=K25,K25+LOOKUP(K25,Feiertage!$B$3:$D$34),K25)</f>
        <v>#N/A</v>
      </c>
      <c r="K25" s="44">
        <f>D5-14</f>
        <v>-14</v>
      </c>
      <c r="L25" s="45" t="e">
        <f>IF(K25&lt;&gt;"",LOOKUP(WEEKDAY(K25),WoTage!$A$2:$B$8),"")</f>
        <v>#NUM!</v>
      </c>
      <c r="M25" s="45" t="e">
        <f>IF(LOOKUP(D25,Feiertage!$B$3:$D$34,Feiertage!$B11:$B42)=D25,1,IF(WEEKDAY(D25)=1,1,IF(WEEKDAY(D25)=7,1,0)))</f>
        <v>#N/A</v>
      </c>
      <c r="N25" s="82" t="s">
        <v>18</v>
      </c>
      <c r="O25" s="20"/>
      <c r="P25" s="20"/>
      <c r="Q25" s="20"/>
      <c r="R25" s="20"/>
      <c r="S25" s="20"/>
      <c r="T25" s="20"/>
    </row>
    <row r="26" spans="1:20" x14ac:dyDescent="0.35">
      <c r="A26" s="68"/>
      <c r="B26" s="41" t="s">
        <v>103</v>
      </c>
      <c r="C26" s="41" t="e">
        <f>IF(D26&lt;&gt;"",LOOKUP(WEEKDAY(D26),WoTage!$A$2:$B$8),"")</f>
        <v>#N/A</v>
      </c>
      <c r="D26" s="42" t="e">
        <f t="shared" si="5"/>
        <v>#N/A</v>
      </c>
      <c r="E26" s="43">
        <f>TIME(12,0,0)</f>
        <v>0.5</v>
      </c>
      <c r="F26" s="43"/>
      <c r="G26" s="42" t="e">
        <f t="shared" si="1"/>
        <v>#N/A</v>
      </c>
      <c r="H26" s="42" t="e">
        <f>IF(LOOKUP(I26,Feiertage!$B$3:$D$34,Feiertage!$B$3:$B$34)=(I26),I26+VLOOKUP(I26,Feiertage!$B$3:$E$34,3,FALSE),I26)</f>
        <v>#N/A</v>
      </c>
      <c r="I26" s="42" t="e">
        <f t="shared" si="2"/>
        <v>#N/A</v>
      </c>
      <c r="J26" s="52" t="e">
        <f>IF(WEEKDAY(K26)=1,K26-2,IF(WEEKDAY(K26)=7,K26-2,K26))</f>
        <v>#N/A</v>
      </c>
      <c r="K26" s="42" t="e">
        <f>IF(LOOKUP(D5-2,Feiertage!$B$3:$D$34,Feiertage!$B$3:$B$34)=(D5-2),D5-2+LOOKUP(D5-2,Feiertage!$B$3:$D$34),D5-2)</f>
        <v>#N/A</v>
      </c>
      <c r="L26" s="45" t="e">
        <f>IF(K26&lt;&gt;"",LOOKUP(WEEKDAY(K26),WoTage!$A$2:$B$8),"")</f>
        <v>#N/A</v>
      </c>
      <c r="M26" s="45" t="e">
        <f>IF(LOOKUP(D26,Feiertage!$B$3:$D$34,Feiertage!$B9:$B40)=D26,1,IF(WEEKDAY(D26)=1,1,IF(WEEKDAY(D26)=7,1,0)))</f>
        <v>#N/A</v>
      </c>
      <c r="N26" s="82" t="s">
        <v>18</v>
      </c>
      <c r="O26" s="20"/>
      <c r="P26" s="20"/>
      <c r="Q26" s="20"/>
      <c r="R26" s="20"/>
      <c r="S26" s="20"/>
      <c r="T26" s="20"/>
    </row>
    <row r="27" spans="1:20" hidden="1" x14ac:dyDescent="0.35">
      <c r="A27" s="68"/>
      <c r="B27" s="47" t="s">
        <v>37</v>
      </c>
      <c r="C27" s="47" t="str">
        <f>IF(D27&lt;&gt;"",LOOKUP(WEEKDAY(D27),WoTage!$A$2:$B$8),"")</f>
        <v/>
      </c>
      <c r="D27" s="48" t="str">
        <f>IF(D5&lt;&gt;"",IF(F27&gt;D5,D5,F27),"")</f>
        <v/>
      </c>
      <c r="E27" s="49"/>
      <c r="F27" s="48">
        <f>IF(WEEKDAY(H27)=1,H27-2,IF(WEEKDAY(H27)=7,H27-1,H27))</f>
        <v>45414</v>
      </c>
      <c r="G27" s="42">
        <f t="shared" si="1"/>
        <v>45414</v>
      </c>
      <c r="H27" s="42">
        <f>IF(LOOKUP(I27,Feiertage!$B$3:$D$34,Feiertage!$B$3:$B$34)=(I27),I27+VLOOKUP(I27,Feiertage!$B$3:$E$34,4,FALSE),I27)</f>
        <v>45414</v>
      </c>
      <c r="I27" s="42">
        <f t="shared" si="2"/>
        <v>45413</v>
      </c>
      <c r="J27" s="50">
        <f>IF(LOOKUP(K27,Feiertage!$B$3:$D$34,Feiertage!B10:B41)=K27,K27+LOOKUP(K27,Feiertage!$B$3:$D$34),K27)</f>
        <v>45413</v>
      </c>
      <c r="K27" s="51">
        <f>IF(WEEKDAY(EDATE(D15,2))=1,EDATE(D15,2)-2,IF(WEEKDAY(EDATE(D15,2))=7,EDATE(D15,2)-1,EDATE(D15,2)))</f>
        <v>45413</v>
      </c>
      <c r="L27" s="36" t="str">
        <f>IF(K27&lt;&gt;"",LOOKUP(WEEKDAY(K27),WoTage!$A$2:$B$8),"")</f>
        <v>Mi.</v>
      </c>
      <c r="M27" s="36" t="e">
        <f>IF(LOOKUP(D27,Feiertage!$B$3:$D$34,Feiertage!$B10:$B41)=D27,1,IF(WEEKDAY(D27)=1,1,IF(WEEKDAY(D27)=7,1,0)))</f>
        <v>#N/A</v>
      </c>
      <c r="N27" s="83" t="s">
        <v>36</v>
      </c>
      <c r="O27" s="20"/>
      <c r="P27" s="20"/>
      <c r="Q27" s="20"/>
      <c r="R27" s="20"/>
      <c r="S27" s="20"/>
      <c r="T27" s="20"/>
    </row>
    <row r="28" spans="1:20" x14ac:dyDescent="0.35">
      <c r="A28" s="68"/>
      <c r="B28" s="40" t="s">
        <v>38</v>
      </c>
      <c r="C28" s="40" t="str">
        <f>IF(D28&lt;&gt;"",LOOKUP(WEEKDAY(D28),WoTage!$A$2:$B$8),"")</f>
        <v>Mi.</v>
      </c>
      <c r="D28" s="42">
        <f t="shared" si="5"/>
        <v>45490</v>
      </c>
      <c r="E28" s="43">
        <f>IF(C28="Fr.",TIME(11,0,0),TIME(16,0,0))</f>
        <v>0.66666666666666663</v>
      </c>
      <c r="F28" s="43"/>
      <c r="G28" s="42">
        <f t="shared" si="1"/>
        <v>45490</v>
      </c>
      <c r="H28" s="42">
        <f>IF(LOOKUP(I28,Feiertage!$B$3:$D$34,Feiertage!$B$3:$B$34)=(I28),I28+VLOOKUP(I28,Feiertage!$B$3:$E$34,4,FALSE),I28)</f>
        <v>45490</v>
      </c>
      <c r="I28" s="42">
        <f t="shared" si="2"/>
        <v>45490</v>
      </c>
      <c r="J28" s="42">
        <f>IF(LOOKUP(K28,Feiertage!$B$3:$D$34,Feiertage!B11:B42)=K28,K28+LOOKUP(K28,Feiertage!$B$3:$D$34),K28)</f>
        <v>45490</v>
      </c>
      <c r="K28" s="44">
        <f>EOMONTH(D4,20+D6)-14</f>
        <v>45490</v>
      </c>
      <c r="L28" s="45" t="str">
        <f>IF(K28&lt;&gt;"",LOOKUP(WEEKDAY(K28),WoTage!$A$2:$B$8),"")</f>
        <v>Mi.</v>
      </c>
      <c r="M28" s="45">
        <f>IF(LOOKUP(D28,Feiertage!$B$3:$D$34,Feiertage!$B11:$B42)=D28,1,IF(WEEKDAY(D28)=1,1,IF(WEEKDAY(D28)=7,1,0)))</f>
        <v>0</v>
      </c>
      <c r="N28" s="82" t="s">
        <v>18</v>
      </c>
      <c r="O28" s="20"/>
      <c r="P28" s="20"/>
      <c r="Q28" s="20"/>
      <c r="R28" s="20"/>
      <c r="S28" s="20"/>
      <c r="T28" s="20"/>
    </row>
    <row r="29" spans="1:20" x14ac:dyDescent="0.35">
      <c r="A29" s="68"/>
      <c r="B29" s="24" t="s">
        <v>39</v>
      </c>
      <c r="C29" s="24" t="str">
        <f>IF(D29&lt;&gt;"",LOOKUP(WEEKDAY(D29),WoTage!$A$2:$B$8),"")</f>
        <v>Mi.</v>
      </c>
      <c r="D29" s="50">
        <f>EOMONTH(D4,20+D6)</f>
        <v>45504</v>
      </c>
      <c r="E29" s="50"/>
      <c r="F29" s="50"/>
      <c r="G29" s="42">
        <f t="shared" si="1"/>
        <v>2</v>
      </c>
      <c r="H29" s="52"/>
      <c r="I29" s="52"/>
      <c r="J29" s="50"/>
      <c r="K29" s="51"/>
      <c r="L29" s="36" t="str">
        <f>IF(K29&lt;&gt;"",LOOKUP(WEEKDAY(K29),WoTage!$A$2:$B$8),"")</f>
        <v/>
      </c>
      <c r="M29" s="36"/>
      <c r="N29" s="86"/>
      <c r="O29" s="19"/>
      <c r="P29" s="19"/>
      <c r="Q29" s="19"/>
      <c r="R29" s="19"/>
      <c r="S29" s="19"/>
      <c r="T29" s="19"/>
    </row>
    <row r="30" spans="1:20" ht="15" thickBot="1" x14ac:dyDescent="0.4">
      <c r="A30" s="70"/>
      <c r="B30" s="53" t="s">
        <v>40</v>
      </c>
      <c r="C30" s="54"/>
      <c r="D30" s="55" t="s">
        <v>41</v>
      </c>
      <c r="E30" s="56"/>
      <c r="F30" s="56"/>
      <c r="G30" s="56"/>
      <c r="H30" s="56"/>
      <c r="I30" s="56"/>
      <c r="J30" s="56"/>
      <c r="K30" s="57"/>
      <c r="L30" s="58" t="str">
        <f>IF(K30&lt;&gt;"",LOOKUP(WEEKDAY(K30),WoTage!$A$2:$B$8),"")</f>
        <v/>
      </c>
      <c r="M30" s="58"/>
      <c r="N30" s="87" t="s">
        <v>18</v>
      </c>
      <c r="O30" s="19"/>
      <c r="P30" s="19"/>
      <c r="Q30" s="19"/>
      <c r="R30" s="19"/>
      <c r="S30" s="19"/>
      <c r="T30" s="19"/>
    </row>
    <row r="31" spans="1:20" x14ac:dyDescent="0.35">
      <c r="B31" s="73" t="s">
        <v>104</v>
      </c>
      <c r="C31" s="4"/>
      <c r="D31" s="11"/>
      <c r="E31" s="11"/>
      <c r="F31" s="11"/>
      <c r="G31" s="11"/>
      <c r="H31" s="11"/>
      <c r="I31" s="11"/>
      <c r="J31" s="11"/>
      <c r="K31" s="12"/>
      <c r="L31" s="4" t="str">
        <f>IF(K31&lt;&gt;"",LOOKUP(WEEKDAY(K31),WoTage!$A$2:$B$8),"")</f>
        <v/>
      </c>
      <c r="M31" s="7"/>
      <c r="N31" s="7"/>
    </row>
    <row r="32" spans="1:20" x14ac:dyDescent="0.35">
      <c r="B32" s="4"/>
      <c r="C32" s="4" t="str">
        <f>IF(D32&lt;&gt;"",LOOKUP(WEEKDAY(D32),WoTage!$A$2:$B$8),"")</f>
        <v/>
      </c>
      <c r="D32" s="10"/>
      <c r="E32" s="10"/>
      <c r="F32" s="10"/>
      <c r="G32" s="10"/>
      <c r="H32" s="10"/>
      <c r="I32" s="10"/>
      <c r="J32" s="10"/>
      <c r="K32" s="12"/>
      <c r="L32" s="4" t="str">
        <f>IF(K32&lt;&gt;"",LOOKUP(WEEKDAY(K32),WoTage!$A$2:$B$8),"")</f>
        <v/>
      </c>
      <c r="M32" s="7"/>
      <c r="N32" s="7"/>
    </row>
    <row r="33" spans="2:14" x14ac:dyDescent="0.35">
      <c r="B33" s="4"/>
      <c r="C33" s="4"/>
      <c r="D33" s="11"/>
      <c r="E33" s="11"/>
      <c r="F33" s="11"/>
      <c r="G33" s="11"/>
      <c r="H33" s="11"/>
      <c r="I33" s="11"/>
      <c r="J33" s="11"/>
      <c r="K33" s="13"/>
      <c r="L33" s="4"/>
      <c r="M33" s="7"/>
      <c r="N33" s="7"/>
    </row>
    <row r="34" spans="2:14" x14ac:dyDescent="0.35">
      <c r="M34" s="18"/>
      <c r="N34" s="18"/>
    </row>
    <row r="35" spans="2:14" x14ac:dyDescent="0.35">
      <c r="M35" s="18"/>
      <c r="N35" s="18"/>
    </row>
    <row r="36" spans="2:14" x14ac:dyDescent="0.35">
      <c r="M36" s="18"/>
      <c r="N36" s="18"/>
    </row>
    <row r="37" spans="2:14" x14ac:dyDescent="0.35">
      <c r="M37" s="18"/>
      <c r="N37" s="18"/>
    </row>
    <row r="38" spans="2:14" x14ac:dyDescent="0.35">
      <c r="M38" s="18"/>
      <c r="N38" s="18"/>
    </row>
  </sheetData>
  <sheetProtection sheet="1" selectLockedCells="1"/>
  <mergeCells count="5">
    <mergeCell ref="B1:B2"/>
    <mergeCell ref="C11:N11"/>
    <mergeCell ref="C9:D9"/>
    <mergeCell ref="E4:N7"/>
    <mergeCell ref="C1:N2"/>
  </mergeCells>
  <dataValidations count="1">
    <dataValidation type="decimal" allowBlank="1" showInputMessage="1" showErrorMessage="1" sqref="D7" xr:uid="{00000000-0002-0000-0000-000000000000}">
      <formula1>0</formula1>
      <formula2>28</formula2>
    </dataValidation>
  </dataValidations>
  <pageMargins left="0.43307086614173229" right="0.39370078740157483" top="1.9685039370078741" bottom="0.74803149606299213" header="0.31496062992125984" footer="0.31496062992125984"/>
  <pageSetup paperSize="9" scale="95" fitToHeight="0" orientation="portrait" r:id="rId1"/>
  <headerFooter>
    <oddHeader>&amp;L&amp;"Arial,Fett"&amp;12&amp;K0070C0Hessische Lehrkräfteakademie
&amp;11&amp;K00-046Studienseminar GHRF Fulda mit Außenstelle in Bad Hersfeld
&amp;9Josefstraße 22-26, 36039 Fulda | Im Stift 9 - 36251 Bad Herfsfeld&amp;R&amp;G</oddHeader>
  </headerFooter>
  <ignoredErrors>
    <ignoredError sqref="J26" formula="1"/>
  </ignoredError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WoTage!$A$11:$A$18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26"/>
  <sheetViews>
    <sheetView workbookViewId="0"/>
  </sheetViews>
  <sheetFormatPr baseColWidth="10" defaultColWidth="11.453125" defaultRowHeight="14.5" x14ac:dyDescent="0.35"/>
  <cols>
    <col min="1" max="1" width="47.26953125" customWidth="1"/>
    <col min="2" max="2" width="18.54296875" customWidth="1"/>
    <col min="3" max="3" width="82.453125" customWidth="1"/>
  </cols>
  <sheetData>
    <row r="1" spans="1:3" ht="18.5" x14ac:dyDescent="0.45">
      <c r="A1" s="14" t="s">
        <v>42</v>
      </c>
    </row>
    <row r="2" spans="1:3" ht="15.5" x14ac:dyDescent="0.35">
      <c r="A2" s="15" t="s">
        <v>6</v>
      </c>
      <c r="B2" s="15" t="s">
        <v>43</v>
      </c>
      <c r="C2" s="15" t="s">
        <v>44</v>
      </c>
    </row>
    <row r="3" spans="1:3" ht="29" x14ac:dyDescent="0.35">
      <c r="A3" s="74" t="s">
        <v>16</v>
      </c>
      <c r="B3" s="74" t="s">
        <v>94</v>
      </c>
      <c r="C3" s="74" t="s">
        <v>45</v>
      </c>
    </row>
    <row r="4" spans="1:3" x14ac:dyDescent="0.35">
      <c r="A4" s="74" t="s">
        <v>46</v>
      </c>
      <c r="B4" s="74" t="s">
        <v>94</v>
      </c>
      <c r="C4" s="74" t="s">
        <v>47</v>
      </c>
    </row>
    <row r="5" spans="1:3" x14ac:dyDescent="0.35">
      <c r="A5" s="74" t="s">
        <v>48</v>
      </c>
      <c r="B5" s="74" t="s">
        <v>94</v>
      </c>
      <c r="C5" s="74" t="s">
        <v>49</v>
      </c>
    </row>
    <row r="6" spans="1:3" x14ac:dyDescent="0.35">
      <c r="A6" s="74" t="s">
        <v>24</v>
      </c>
      <c r="B6" s="74" t="s">
        <v>94</v>
      </c>
      <c r="C6" s="74" t="s">
        <v>93</v>
      </c>
    </row>
    <row r="7" spans="1:3" x14ac:dyDescent="0.35">
      <c r="A7" s="74" t="s">
        <v>25</v>
      </c>
      <c r="B7" s="74" t="s">
        <v>94</v>
      </c>
      <c r="C7" s="74" t="s">
        <v>24</v>
      </c>
    </row>
    <row r="8" spans="1:3" x14ac:dyDescent="0.35">
      <c r="A8" s="74" t="s">
        <v>26</v>
      </c>
      <c r="B8" s="74" t="s">
        <v>94</v>
      </c>
      <c r="C8" s="74" t="s">
        <v>24</v>
      </c>
    </row>
    <row r="9" spans="1:3" x14ac:dyDescent="0.35">
      <c r="A9" s="74" t="s">
        <v>27</v>
      </c>
      <c r="B9" s="74" t="s">
        <v>94</v>
      </c>
      <c r="C9" s="74" t="s">
        <v>24</v>
      </c>
    </row>
    <row r="10" spans="1:3" x14ac:dyDescent="0.35">
      <c r="A10" s="74" t="s">
        <v>50</v>
      </c>
      <c r="B10" s="74" t="s">
        <v>94</v>
      </c>
      <c r="C10" s="74" t="s">
        <v>51</v>
      </c>
    </row>
    <row r="11" spans="1:3" x14ac:dyDescent="0.35">
      <c r="A11" s="74" t="s">
        <v>52</v>
      </c>
      <c r="B11" s="74" t="s">
        <v>94</v>
      </c>
      <c r="C11" s="74" t="s">
        <v>53</v>
      </c>
    </row>
    <row r="12" spans="1:3" x14ac:dyDescent="0.35">
      <c r="A12" s="74" t="s">
        <v>54</v>
      </c>
      <c r="B12" s="74" t="s">
        <v>94</v>
      </c>
      <c r="C12" s="74" t="s">
        <v>55</v>
      </c>
    </row>
    <row r="13" spans="1:3" x14ac:dyDescent="0.35">
      <c r="A13" s="74" t="s">
        <v>35</v>
      </c>
      <c r="B13" s="74" t="s">
        <v>94</v>
      </c>
      <c r="C13" s="74" t="s">
        <v>56</v>
      </c>
    </row>
    <row r="14" spans="1:3" x14ac:dyDescent="0.35">
      <c r="A14" s="74" t="s">
        <v>57</v>
      </c>
      <c r="B14" s="74" t="s">
        <v>94</v>
      </c>
      <c r="C14" s="74" t="s">
        <v>58</v>
      </c>
    </row>
    <row r="15" spans="1:3" x14ac:dyDescent="0.35">
      <c r="A15" s="74" t="s">
        <v>34</v>
      </c>
      <c r="B15" s="74" t="s">
        <v>94</v>
      </c>
      <c r="C15" s="74" t="s">
        <v>59</v>
      </c>
    </row>
    <row r="16" spans="1:3" x14ac:dyDescent="0.35">
      <c r="A16" s="74" t="s">
        <v>60</v>
      </c>
      <c r="B16" s="74" t="s">
        <v>94</v>
      </c>
      <c r="C16" s="74" t="s">
        <v>61</v>
      </c>
    </row>
    <row r="17" spans="1:3" x14ac:dyDescent="0.35">
      <c r="A17" s="74" t="s">
        <v>62</v>
      </c>
      <c r="B17" s="74" t="s">
        <v>94</v>
      </c>
      <c r="C17" s="74" t="s">
        <v>63</v>
      </c>
    </row>
    <row r="18" spans="1:3" x14ac:dyDescent="0.35">
      <c r="A18" s="74" t="s">
        <v>39</v>
      </c>
      <c r="B18" s="74" t="s">
        <v>94</v>
      </c>
      <c r="C18" s="74" t="s">
        <v>64</v>
      </c>
    </row>
    <row r="19" spans="1:3" x14ac:dyDescent="0.35">
      <c r="A19" s="74"/>
      <c r="B19" s="74"/>
      <c r="C19" s="74"/>
    </row>
    <row r="20" spans="1:3" x14ac:dyDescent="0.35">
      <c r="A20" s="74" t="s">
        <v>65</v>
      </c>
      <c r="B20" s="74"/>
      <c r="C20" s="74"/>
    </row>
    <row r="21" spans="1:3" x14ac:dyDescent="0.35">
      <c r="A21" s="110" t="s">
        <v>66</v>
      </c>
      <c r="B21" s="110"/>
      <c r="C21" s="110"/>
    </row>
    <row r="22" spans="1:3" x14ac:dyDescent="0.35">
      <c r="A22" s="74" t="s">
        <v>67</v>
      </c>
      <c r="B22" s="74"/>
      <c r="C22" s="74"/>
    </row>
    <row r="23" spans="1:3" x14ac:dyDescent="0.35">
      <c r="A23" s="74" t="s">
        <v>68</v>
      </c>
      <c r="B23" s="74" t="s">
        <v>69</v>
      </c>
      <c r="C23" s="74"/>
    </row>
    <row r="24" spans="1:3" x14ac:dyDescent="0.35">
      <c r="A24" s="74" t="s">
        <v>70</v>
      </c>
      <c r="B24" t="s">
        <v>71</v>
      </c>
    </row>
    <row r="25" spans="1:3" x14ac:dyDescent="0.35">
      <c r="A25" s="74" t="s">
        <v>72</v>
      </c>
      <c r="B25" t="s">
        <v>71</v>
      </c>
    </row>
    <row r="26" spans="1:3" x14ac:dyDescent="0.35">
      <c r="A26" s="74" t="s">
        <v>73</v>
      </c>
      <c r="B26" t="s">
        <v>74</v>
      </c>
    </row>
  </sheetData>
  <mergeCells count="1">
    <mergeCell ref="A21:C2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35"/>
  <sheetViews>
    <sheetView workbookViewId="0">
      <selection activeCell="A35" sqref="A35"/>
    </sheetView>
  </sheetViews>
  <sheetFormatPr baseColWidth="10" defaultColWidth="11.453125" defaultRowHeight="14.5" x14ac:dyDescent="0.35"/>
  <cols>
    <col min="1" max="1" width="27.26953125" customWidth="1"/>
    <col min="2" max="2" width="11.81640625" customWidth="1"/>
    <col min="3" max="3" width="11.54296875" bestFit="1" customWidth="1"/>
    <col min="4" max="5" width="7.81640625" customWidth="1"/>
    <col min="6" max="6" width="11" customWidth="1"/>
    <col min="7" max="7" width="4.453125" customWidth="1"/>
    <col min="8" max="8" width="4.7265625" customWidth="1"/>
    <col min="9" max="9" width="9" customWidth="1"/>
    <col min="13" max="13" width="12.7265625" customWidth="1"/>
  </cols>
  <sheetData>
    <row r="1" spans="1:15" x14ac:dyDescent="0.35">
      <c r="A1" s="16" t="s">
        <v>84</v>
      </c>
      <c r="B1" s="17">
        <f>IF(Termine!D4&lt;&gt;"",YEAR(Termine!D4),2013)</f>
        <v>2022</v>
      </c>
      <c r="C1" s="17" t="s">
        <v>100</v>
      </c>
      <c r="D1" s="5"/>
      <c r="E1" s="5"/>
      <c r="F1" s="5"/>
      <c r="G1" s="5"/>
      <c r="H1" s="3"/>
      <c r="I1" s="3"/>
    </row>
    <row r="2" spans="1:15" x14ac:dyDescent="0.35">
      <c r="A2" s="4"/>
      <c r="B2" s="5"/>
      <c r="C2" s="5"/>
      <c r="D2" s="5"/>
      <c r="E2" s="5"/>
      <c r="F2" s="5"/>
      <c r="G2" s="5"/>
      <c r="H2" s="3"/>
      <c r="I2" s="3"/>
    </row>
    <row r="3" spans="1:15" x14ac:dyDescent="0.35">
      <c r="A3" s="4" t="s">
        <v>85</v>
      </c>
      <c r="B3" s="6">
        <f>B4-2</f>
        <v>44666</v>
      </c>
      <c r="C3" s="6">
        <f>IF(WEEKDAY(B3,2)&lt;6,B3,"")</f>
        <v>44666</v>
      </c>
      <c r="D3" s="7">
        <v>-1</v>
      </c>
      <c r="E3" s="7">
        <v>4</v>
      </c>
      <c r="F3" s="7"/>
      <c r="G3" s="7">
        <f>WEEKDAY(B3)</f>
        <v>6</v>
      </c>
      <c r="H3" t="str">
        <f>LOOKUP(WEEKDAY(B3),WoTage!$A$2:$B$8,WoTage!$B$2:$B$8)</f>
        <v>Fr.</v>
      </c>
      <c r="J3" t="s">
        <v>86</v>
      </c>
      <c r="M3" s="81"/>
    </row>
    <row r="4" spans="1:15" x14ac:dyDescent="0.35">
      <c r="A4" s="4" t="s">
        <v>87</v>
      </c>
      <c r="B4" s="6">
        <f>DOLLAR((DAY(MINUTE(B1/38)/2+55)&amp;".4."&amp;B1)/7,)*7-6</f>
        <v>44668</v>
      </c>
      <c r="C4" s="6" t="str">
        <f t="shared" ref="C4:C9" si="0">IF(WEEKDAY(B4,2)&lt;6,B4,"")</f>
        <v/>
      </c>
      <c r="D4" s="7">
        <v>-3</v>
      </c>
      <c r="E4" s="7">
        <v>2</v>
      </c>
      <c r="F4" s="7"/>
      <c r="G4" s="7">
        <f t="shared" ref="G4:G34" si="1">WEEKDAY(B4)</f>
        <v>1</v>
      </c>
      <c r="H4" t="str">
        <f>LOOKUP(WEEKDAY(B4),WoTage!$A$2:$B$8,WoTage!$B$2:$B$8)</f>
        <v>So.</v>
      </c>
      <c r="J4" t="s">
        <v>97</v>
      </c>
    </row>
    <row r="5" spans="1:15" x14ac:dyDescent="0.35">
      <c r="A5" s="4" t="s">
        <v>68</v>
      </c>
      <c r="B5" s="6">
        <f>B4+1</f>
        <v>44669</v>
      </c>
      <c r="C5" s="6">
        <f t="shared" si="0"/>
        <v>44669</v>
      </c>
      <c r="D5" s="7">
        <v>-4</v>
      </c>
      <c r="E5" s="7">
        <v>1</v>
      </c>
      <c r="F5" s="7"/>
      <c r="G5" s="7">
        <f t="shared" si="1"/>
        <v>2</v>
      </c>
      <c r="H5" t="str">
        <f>LOOKUP(WEEKDAY(B5),WoTage!$A$2:$B$8,WoTage!$B$2:$B$8)</f>
        <v>Mo.</v>
      </c>
      <c r="O5" s="22"/>
    </row>
    <row r="6" spans="1:15" x14ac:dyDescent="0.35">
      <c r="A6" s="8" t="s">
        <v>88</v>
      </c>
      <c r="B6" s="6">
        <f>DATE(B1,5,1)</f>
        <v>44682</v>
      </c>
      <c r="C6" s="6" t="str">
        <f t="shared" si="0"/>
        <v/>
      </c>
      <c r="D6" s="7">
        <f>LOOKUP(WEEKDAY(B6),WoTage!$C$2:$D$8)</f>
        <v>-2</v>
      </c>
      <c r="E6" s="7">
        <v>1</v>
      </c>
      <c r="F6" s="7">
        <f>IF(G6=1,-2,-1)</f>
        <v>-2</v>
      </c>
      <c r="G6" s="7">
        <f t="shared" si="1"/>
        <v>1</v>
      </c>
      <c r="H6" t="str">
        <f>LOOKUP(WEEKDAY(B6),WoTage!$A$2:$B$8,WoTage!$B$2:$B$8)</f>
        <v>So.</v>
      </c>
    </row>
    <row r="7" spans="1:15" x14ac:dyDescent="0.35">
      <c r="A7" s="4" t="s">
        <v>89</v>
      </c>
      <c r="B7" s="6">
        <f>B4+39</f>
        <v>44707</v>
      </c>
      <c r="C7" s="6">
        <f t="shared" si="0"/>
        <v>44707</v>
      </c>
      <c r="D7" s="7">
        <v>-1</v>
      </c>
      <c r="E7" s="7">
        <v>1</v>
      </c>
      <c r="F7" s="7"/>
      <c r="G7" s="7">
        <f t="shared" si="1"/>
        <v>5</v>
      </c>
      <c r="H7" t="str">
        <f>LOOKUP(WEEKDAY(B7),WoTage!$A$2:$B$8,WoTage!$B$2:$B$8)</f>
        <v>Do.</v>
      </c>
    </row>
    <row r="8" spans="1:15" x14ac:dyDescent="0.35">
      <c r="A8" s="4" t="s">
        <v>90</v>
      </c>
      <c r="B8" s="6">
        <f>B4+50</f>
        <v>44718</v>
      </c>
      <c r="C8" s="6">
        <f t="shared" si="0"/>
        <v>44718</v>
      </c>
      <c r="D8" s="7">
        <v>-3</v>
      </c>
      <c r="E8" s="7">
        <v>1</v>
      </c>
      <c r="F8" s="7"/>
      <c r="G8" s="7">
        <f t="shared" si="1"/>
        <v>2</v>
      </c>
      <c r="H8" t="str">
        <f>LOOKUP(WEEKDAY(B8),WoTage!$A$2:$B$8,WoTage!$B$2:$B$8)</f>
        <v>Mo.</v>
      </c>
    </row>
    <row r="9" spans="1:15" x14ac:dyDescent="0.35">
      <c r="A9" s="4" t="s">
        <v>91</v>
      </c>
      <c r="B9" s="6">
        <f>B4+60</f>
        <v>44728</v>
      </c>
      <c r="C9" s="6">
        <f t="shared" si="0"/>
        <v>44728</v>
      </c>
      <c r="D9" s="7">
        <v>-1</v>
      </c>
      <c r="E9" s="7">
        <v>1</v>
      </c>
      <c r="F9" s="7"/>
      <c r="G9" s="7">
        <f t="shared" si="1"/>
        <v>5</v>
      </c>
      <c r="H9" t="str">
        <f>LOOKUP(WEEKDAY(B9),WoTage!$A$2:$B$8,WoTage!$B$2:$B$8)</f>
        <v>Do.</v>
      </c>
    </row>
    <row r="10" spans="1:15" ht="15" thickBot="1" x14ac:dyDescent="0.4">
      <c r="A10" s="79" t="s">
        <v>92</v>
      </c>
      <c r="B10" s="76">
        <f>DATE(B1,10,3)</f>
        <v>44837</v>
      </c>
      <c r="C10" s="77">
        <f>IF(WEEKDAY(B10,2)&lt;6,B10,"")</f>
        <v>44837</v>
      </c>
      <c r="D10" s="78">
        <f>LOOKUP(WEEKDAY(B10),WoTage!C2:D8)</f>
        <v>-3</v>
      </c>
      <c r="E10" s="78">
        <v>1</v>
      </c>
      <c r="F10" s="78"/>
      <c r="G10" s="78">
        <f t="shared" si="1"/>
        <v>2</v>
      </c>
      <c r="H10" s="80" t="str">
        <f>LOOKUP(WEEKDAY(B10),WoTage!$A$2:$B$8,WoTage!$B$2:$B$8)</f>
        <v>Mo.</v>
      </c>
    </row>
    <row r="11" spans="1:15" ht="15" thickTop="1" x14ac:dyDescent="0.35">
      <c r="A11" s="4" t="s">
        <v>85</v>
      </c>
      <c r="B11" s="6">
        <f>B12-2</f>
        <v>45023</v>
      </c>
      <c r="C11" s="6">
        <f t="shared" ref="C11:C34" si="2">IF(WEEKDAY(B11,2)&lt;6,B11,"")</f>
        <v>45023</v>
      </c>
      <c r="D11" s="7">
        <v>-1</v>
      </c>
      <c r="E11" s="7">
        <v>4</v>
      </c>
      <c r="F11" s="7"/>
      <c r="G11" s="7">
        <f t="shared" si="1"/>
        <v>6</v>
      </c>
      <c r="H11" t="str">
        <f>LOOKUP(WEEKDAY(B11),WoTage!$A$2:$B$8,WoTage!$B$2:$B$8)</f>
        <v>Fr.</v>
      </c>
    </row>
    <row r="12" spans="1:15" x14ac:dyDescent="0.35">
      <c r="A12" s="4" t="s">
        <v>87</v>
      </c>
      <c r="B12" s="6">
        <f>DOLLAR((DAY(MINUTE((B1+1)/38)/2+55)&amp;".4."&amp;(B1+1))/7,)*7-6</f>
        <v>45025</v>
      </c>
      <c r="C12" s="6" t="str">
        <f t="shared" si="2"/>
        <v/>
      </c>
      <c r="D12" s="7">
        <v>-3</v>
      </c>
      <c r="E12" s="7">
        <v>2</v>
      </c>
      <c r="F12" s="7"/>
      <c r="G12" s="7">
        <f t="shared" si="1"/>
        <v>1</v>
      </c>
      <c r="H12" t="str">
        <f>LOOKUP(WEEKDAY(B12),WoTage!$A$2:$B$8,WoTage!$B$2:$B$8)</f>
        <v>So.</v>
      </c>
    </row>
    <row r="13" spans="1:15" x14ac:dyDescent="0.35">
      <c r="A13" s="4" t="s">
        <v>68</v>
      </c>
      <c r="B13" s="6">
        <f>B12+1</f>
        <v>45026</v>
      </c>
      <c r="C13" s="6">
        <f t="shared" si="2"/>
        <v>45026</v>
      </c>
      <c r="D13" s="7">
        <v>-4</v>
      </c>
      <c r="E13" s="7">
        <v>1</v>
      </c>
      <c r="F13" s="7"/>
      <c r="G13" s="7">
        <f t="shared" si="1"/>
        <v>2</v>
      </c>
      <c r="H13" t="str">
        <f>LOOKUP(WEEKDAY(B13),WoTage!$A$2:$B$8,WoTage!$B$2:$B$8)</f>
        <v>Mo.</v>
      </c>
    </row>
    <row r="14" spans="1:15" x14ac:dyDescent="0.35">
      <c r="A14" s="4" t="s">
        <v>88</v>
      </c>
      <c r="B14" s="6">
        <f>DATE(B1+1,5,1)</f>
        <v>45047</v>
      </c>
      <c r="C14" s="6">
        <f t="shared" si="2"/>
        <v>45047</v>
      </c>
      <c r="D14" s="7">
        <f>LOOKUP(WEEKDAY(B14),WoTage!$C$2:$D$8)</f>
        <v>-3</v>
      </c>
      <c r="E14" s="7">
        <v>1</v>
      </c>
      <c r="F14" s="7">
        <f>IF(G14=1,-2,-1)</f>
        <v>-1</v>
      </c>
      <c r="G14" s="7">
        <f t="shared" si="1"/>
        <v>2</v>
      </c>
      <c r="H14" t="str">
        <f>LOOKUP(WEEKDAY(B14),WoTage!$A$2:$B$8,WoTage!$B$2:$B$8)</f>
        <v>Mo.</v>
      </c>
    </row>
    <row r="15" spans="1:15" x14ac:dyDescent="0.35">
      <c r="A15" s="4" t="s">
        <v>89</v>
      </c>
      <c r="B15" s="6">
        <f>B12+39</f>
        <v>45064</v>
      </c>
      <c r="C15" s="6">
        <f t="shared" si="2"/>
        <v>45064</v>
      </c>
      <c r="D15" s="7">
        <v>-1</v>
      </c>
      <c r="E15" s="7">
        <v>1</v>
      </c>
      <c r="F15" s="7"/>
      <c r="G15" s="7">
        <f t="shared" si="1"/>
        <v>5</v>
      </c>
      <c r="H15" t="str">
        <f>LOOKUP(WEEKDAY(B15),WoTage!$A$2:$B$8,WoTage!$B$2:$B$8)</f>
        <v>Do.</v>
      </c>
    </row>
    <row r="16" spans="1:15" x14ac:dyDescent="0.35">
      <c r="A16" s="4" t="s">
        <v>90</v>
      </c>
      <c r="B16" s="6">
        <f>B12+50</f>
        <v>45075</v>
      </c>
      <c r="C16" s="6">
        <f t="shared" si="2"/>
        <v>45075</v>
      </c>
      <c r="D16" s="7">
        <v>-3</v>
      </c>
      <c r="E16" s="7">
        <v>1</v>
      </c>
      <c r="F16" s="7"/>
      <c r="G16" s="7">
        <f t="shared" si="1"/>
        <v>2</v>
      </c>
      <c r="H16" t="str">
        <f>LOOKUP(WEEKDAY(B16),WoTage!$A$2:$B$8,WoTage!$B$2:$B$8)</f>
        <v>Mo.</v>
      </c>
    </row>
    <row r="17" spans="1:8" x14ac:dyDescent="0.35">
      <c r="A17" s="4" t="s">
        <v>91</v>
      </c>
      <c r="B17" s="6">
        <f>B12+60</f>
        <v>45085</v>
      </c>
      <c r="C17" s="6">
        <f t="shared" si="2"/>
        <v>45085</v>
      </c>
      <c r="D17" s="7">
        <v>-1</v>
      </c>
      <c r="E17" s="7">
        <v>1</v>
      </c>
      <c r="F17" s="7"/>
      <c r="G17" s="7">
        <f t="shared" si="1"/>
        <v>5</v>
      </c>
      <c r="H17" t="str">
        <f>LOOKUP(WEEKDAY(B17),WoTage!$A$2:$B$8,WoTage!$B$2:$B$8)</f>
        <v>Do.</v>
      </c>
    </row>
    <row r="18" spans="1:8" ht="15" thickBot="1" x14ac:dyDescent="0.4">
      <c r="A18" s="79" t="s">
        <v>92</v>
      </c>
      <c r="B18" s="76">
        <f>DATE(B1+1,10,3)</f>
        <v>45202</v>
      </c>
      <c r="C18" s="77">
        <f t="shared" si="2"/>
        <v>45202</v>
      </c>
      <c r="D18" s="78">
        <f>LOOKUP(WEEKDAY(B18),WoTage!C2:D8)</f>
        <v>-1</v>
      </c>
      <c r="E18" s="78">
        <v>1</v>
      </c>
      <c r="F18" s="78"/>
      <c r="G18" s="78">
        <f t="shared" si="1"/>
        <v>3</v>
      </c>
      <c r="H18" s="80" t="str">
        <f>LOOKUP(WEEKDAY(B18),WoTage!$A$2:$B$8,WoTage!$B$2:$B$8)</f>
        <v>Di.</v>
      </c>
    </row>
    <row r="19" spans="1:8" ht="15" thickTop="1" x14ac:dyDescent="0.35">
      <c r="A19" s="4" t="s">
        <v>85</v>
      </c>
      <c r="B19" s="6">
        <f>B20-2</f>
        <v>45380</v>
      </c>
      <c r="C19" s="6">
        <f t="shared" si="2"/>
        <v>45380</v>
      </c>
      <c r="D19" s="7">
        <v>-1</v>
      </c>
      <c r="E19" s="7">
        <v>4</v>
      </c>
      <c r="F19" s="7"/>
      <c r="G19" s="7">
        <f t="shared" si="1"/>
        <v>6</v>
      </c>
      <c r="H19" t="str">
        <f>LOOKUP(WEEKDAY(B19),WoTage!$A$2:$B$8,WoTage!$B$2:$B$8)</f>
        <v>Fr.</v>
      </c>
    </row>
    <row r="20" spans="1:8" x14ac:dyDescent="0.35">
      <c r="A20" s="4" t="s">
        <v>87</v>
      </c>
      <c r="B20" s="6">
        <f>DOLLAR((DAY(MINUTE((B1+2)/38)/2+55)&amp;".4."&amp;(B1+2))/7,)*7-6</f>
        <v>45382</v>
      </c>
      <c r="C20" s="6" t="str">
        <f t="shared" si="2"/>
        <v/>
      </c>
      <c r="D20" s="7">
        <v>-3</v>
      </c>
      <c r="E20" s="7">
        <v>2</v>
      </c>
      <c r="F20" s="7"/>
      <c r="G20" s="7">
        <f t="shared" si="1"/>
        <v>1</v>
      </c>
      <c r="H20" t="str">
        <f>LOOKUP(WEEKDAY(B20),WoTage!$A$2:$B$8,WoTage!$B$2:$B$8)</f>
        <v>So.</v>
      </c>
    </row>
    <row r="21" spans="1:8" x14ac:dyDescent="0.35">
      <c r="A21" s="4" t="s">
        <v>68</v>
      </c>
      <c r="B21" s="6">
        <f>B20+1</f>
        <v>45383</v>
      </c>
      <c r="C21" s="6">
        <f t="shared" si="2"/>
        <v>45383</v>
      </c>
      <c r="D21" s="7">
        <v>-4</v>
      </c>
      <c r="E21" s="7">
        <v>1</v>
      </c>
      <c r="F21" s="7"/>
      <c r="G21" s="7">
        <f t="shared" si="1"/>
        <v>2</v>
      </c>
      <c r="H21" t="str">
        <f>LOOKUP(WEEKDAY(B21),WoTage!$A$2:$B$8,WoTage!$B$2:$B$8)</f>
        <v>Mo.</v>
      </c>
    </row>
    <row r="22" spans="1:8" x14ac:dyDescent="0.35">
      <c r="A22" s="4" t="s">
        <v>88</v>
      </c>
      <c r="B22" s="6">
        <f>DATE(B1+2,5,1)</f>
        <v>45413</v>
      </c>
      <c r="C22" s="6">
        <f t="shared" si="2"/>
        <v>45413</v>
      </c>
      <c r="D22" s="7">
        <f>LOOKUP(WEEKDAY(B22),WoTage!$C$2:$D$8)</f>
        <v>-1</v>
      </c>
      <c r="E22" s="7">
        <v>1</v>
      </c>
      <c r="F22" s="7">
        <f>IF(G22=6,-2,-1)</f>
        <v>-1</v>
      </c>
      <c r="G22" s="7">
        <f t="shared" si="1"/>
        <v>4</v>
      </c>
      <c r="H22" t="str">
        <f>LOOKUP(WEEKDAY(B22),WoTage!$A$2:$B$8,WoTage!$B$2:$B$8)</f>
        <v>Mi.</v>
      </c>
    </row>
    <row r="23" spans="1:8" x14ac:dyDescent="0.35">
      <c r="A23" s="4" t="s">
        <v>89</v>
      </c>
      <c r="B23" s="6">
        <f>B20+39</f>
        <v>45421</v>
      </c>
      <c r="C23" s="6">
        <f t="shared" si="2"/>
        <v>45421</v>
      </c>
      <c r="D23" s="7">
        <v>-1</v>
      </c>
      <c r="E23" s="7">
        <v>1</v>
      </c>
      <c r="F23" s="7"/>
      <c r="G23" s="7">
        <f t="shared" si="1"/>
        <v>5</v>
      </c>
      <c r="H23" t="str">
        <f>LOOKUP(WEEKDAY(B23),WoTage!$A$2:$B$8,WoTage!$B$2:$B$8)</f>
        <v>Do.</v>
      </c>
    </row>
    <row r="24" spans="1:8" x14ac:dyDescent="0.35">
      <c r="A24" s="4" t="s">
        <v>90</v>
      </c>
      <c r="B24" s="6">
        <f>B20+50</f>
        <v>45432</v>
      </c>
      <c r="C24" s="6">
        <f t="shared" si="2"/>
        <v>45432</v>
      </c>
      <c r="D24" s="7">
        <v>-3</v>
      </c>
      <c r="E24" s="7">
        <v>1</v>
      </c>
      <c r="F24" s="7"/>
      <c r="G24" s="7">
        <f t="shared" si="1"/>
        <v>2</v>
      </c>
      <c r="H24" t="str">
        <f>LOOKUP(WEEKDAY(B24),WoTage!$A$2:$B$8,WoTage!$B$2:$B$8)</f>
        <v>Mo.</v>
      </c>
    </row>
    <row r="25" spans="1:8" x14ac:dyDescent="0.35">
      <c r="A25" s="4" t="s">
        <v>91</v>
      </c>
      <c r="B25" s="6">
        <f>B20+60</f>
        <v>45442</v>
      </c>
      <c r="C25" s="6">
        <f t="shared" si="2"/>
        <v>45442</v>
      </c>
      <c r="D25" s="7">
        <v>-1</v>
      </c>
      <c r="E25" s="7">
        <v>1</v>
      </c>
      <c r="F25" s="7"/>
      <c r="G25" s="7">
        <f t="shared" si="1"/>
        <v>5</v>
      </c>
      <c r="H25" t="str">
        <f>LOOKUP(WEEKDAY(B25),WoTage!$A$2:$B$8,WoTage!$B$2:$B$8)</f>
        <v>Do.</v>
      </c>
    </row>
    <row r="26" spans="1:8" ht="15" thickBot="1" x14ac:dyDescent="0.4">
      <c r="A26" s="79" t="s">
        <v>92</v>
      </c>
      <c r="B26" s="76">
        <f>DATE(B1+2,10,3)</f>
        <v>45568</v>
      </c>
      <c r="C26" s="77">
        <f t="shared" si="2"/>
        <v>45568</v>
      </c>
      <c r="D26" s="78">
        <f>LOOKUP(WEEKDAY(B26),WoTage!C2:D8)</f>
        <v>-1</v>
      </c>
      <c r="E26" s="78">
        <v>1</v>
      </c>
      <c r="F26" s="78"/>
      <c r="G26" s="78">
        <f t="shared" si="1"/>
        <v>5</v>
      </c>
      <c r="H26" s="80" t="str">
        <f>LOOKUP(WEEKDAY(B26),WoTage!$A$2:$B$8,WoTage!$B$2:$B$8)</f>
        <v>Do.</v>
      </c>
    </row>
    <row r="27" spans="1:8" ht="15" thickTop="1" x14ac:dyDescent="0.35">
      <c r="A27" s="4" t="s">
        <v>85</v>
      </c>
      <c r="B27" s="6">
        <f>B28-2</f>
        <v>45765</v>
      </c>
      <c r="C27" s="6">
        <f t="shared" si="2"/>
        <v>45765</v>
      </c>
      <c r="D27" s="7">
        <v>-1</v>
      </c>
      <c r="E27" s="7">
        <v>4</v>
      </c>
      <c r="F27" s="7"/>
      <c r="G27" s="7">
        <f t="shared" si="1"/>
        <v>6</v>
      </c>
      <c r="H27" t="str">
        <f>LOOKUP(WEEKDAY(B27),WoTage!$A$2:$B$8,WoTage!$B$2:$B$8)</f>
        <v>Fr.</v>
      </c>
    </row>
    <row r="28" spans="1:8" x14ac:dyDescent="0.35">
      <c r="A28" s="4" t="s">
        <v>87</v>
      </c>
      <c r="B28" s="6">
        <f>DOLLAR((DAY(MINUTE((B1+3)/38)/2+55)&amp;".4."&amp;(B1+3))/7,)*7-6</f>
        <v>45767</v>
      </c>
      <c r="C28" s="6" t="str">
        <f t="shared" si="2"/>
        <v/>
      </c>
      <c r="D28" s="7">
        <v>-3</v>
      </c>
      <c r="E28" s="7">
        <v>2</v>
      </c>
      <c r="F28" s="7"/>
      <c r="G28" s="7">
        <f t="shared" si="1"/>
        <v>1</v>
      </c>
      <c r="H28" t="str">
        <f>LOOKUP(WEEKDAY(B28),WoTage!$A$2:$B$8,WoTage!$B$2:$B$8)</f>
        <v>So.</v>
      </c>
    </row>
    <row r="29" spans="1:8" x14ac:dyDescent="0.35">
      <c r="A29" s="4" t="s">
        <v>68</v>
      </c>
      <c r="B29" s="6">
        <f>B28+1</f>
        <v>45768</v>
      </c>
      <c r="C29" s="6">
        <f t="shared" si="2"/>
        <v>45768</v>
      </c>
      <c r="D29" s="7">
        <v>-4</v>
      </c>
      <c r="E29" s="7">
        <v>1</v>
      </c>
      <c r="F29" s="7"/>
      <c r="G29" s="7">
        <f t="shared" si="1"/>
        <v>2</v>
      </c>
      <c r="H29" t="str">
        <f>LOOKUP(WEEKDAY(B29),WoTage!$A$2:$B$8,WoTage!$B$2:$B$8)</f>
        <v>Mo.</v>
      </c>
    </row>
    <row r="30" spans="1:8" x14ac:dyDescent="0.35">
      <c r="A30" s="4" t="s">
        <v>88</v>
      </c>
      <c r="B30" s="6">
        <f>DATE(B1+3,5,1)</f>
        <v>45778</v>
      </c>
      <c r="C30" s="6">
        <f t="shared" si="2"/>
        <v>45778</v>
      </c>
      <c r="D30" s="7">
        <f>LOOKUP(WEEKDAY(B30),WoTage!$C$2:$D$8)</f>
        <v>-1</v>
      </c>
      <c r="E30" s="7">
        <v>1</v>
      </c>
      <c r="F30" s="7">
        <f>IF(G30=6,-2,-1)</f>
        <v>-1</v>
      </c>
      <c r="G30" s="7">
        <f t="shared" si="1"/>
        <v>5</v>
      </c>
      <c r="H30" t="str">
        <f>LOOKUP(WEEKDAY(B30),WoTage!$A$2:$B$8,WoTage!$B$2:$B$8)</f>
        <v>Do.</v>
      </c>
    </row>
    <row r="31" spans="1:8" x14ac:dyDescent="0.35">
      <c r="A31" s="4" t="s">
        <v>89</v>
      </c>
      <c r="B31" s="6">
        <f>B28+39</f>
        <v>45806</v>
      </c>
      <c r="C31" s="6">
        <f t="shared" si="2"/>
        <v>45806</v>
      </c>
      <c r="D31" s="7">
        <v>-1</v>
      </c>
      <c r="E31" s="7">
        <v>1</v>
      </c>
      <c r="F31" s="7"/>
      <c r="G31" s="7">
        <f t="shared" si="1"/>
        <v>5</v>
      </c>
      <c r="H31" t="str">
        <f>LOOKUP(WEEKDAY(B31),WoTage!$A$2:$B$8,WoTage!$B$2:$B$8)</f>
        <v>Do.</v>
      </c>
    </row>
    <row r="32" spans="1:8" x14ac:dyDescent="0.35">
      <c r="A32" s="4" t="s">
        <v>90</v>
      </c>
      <c r="B32" s="6">
        <f>B28+50</f>
        <v>45817</v>
      </c>
      <c r="C32" s="6">
        <f t="shared" si="2"/>
        <v>45817</v>
      </c>
      <c r="D32" s="7">
        <v>-3</v>
      </c>
      <c r="E32" s="7">
        <v>1</v>
      </c>
      <c r="F32" s="7"/>
      <c r="G32" s="7">
        <f t="shared" si="1"/>
        <v>2</v>
      </c>
      <c r="H32" t="str">
        <f>LOOKUP(WEEKDAY(B32),WoTage!$A$2:$B$8,WoTage!$B$2:$B$8)</f>
        <v>Mo.</v>
      </c>
    </row>
    <row r="33" spans="1:8" x14ac:dyDescent="0.35">
      <c r="A33" s="4" t="s">
        <v>91</v>
      </c>
      <c r="B33" s="6">
        <f>B28+60</f>
        <v>45827</v>
      </c>
      <c r="C33" s="6">
        <f t="shared" si="2"/>
        <v>45827</v>
      </c>
      <c r="D33" s="7">
        <v>-1</v>
      </c>
      <c r="E33" s="7">
        <v>1</v>
      </c>
      <c r="F33" s="7"/>
      <c r="G33" s="7">
        <f t="shared" si="1"/>
        <v>5</v>
      </c>
      <c r="H33" t="str">
        <f>LOOKUP(WEEKDAY(B33),WoTage!$A$2:$B$8,WoTage!$B$2:$B$8)</f>
        <v>Do.</v>
      </c>
    </row>
    <row r="34" spans="1:8" ht="15" thickBot="1" x14ac:dyDescent="0.4">
      <c r="A34" s="4" t="s">
        <v>92</v>
      </c>
      <c r="B34" s="9">
        <f>DATE(B1+3,10,3)</f>
        <v>45933</v>
      </c>
      <c r="C34" s="6">
        <f t="shared" si="2"/>
        <v>45933</v>
      </c>
      <c r="D34" s="7">
        <f>LOOKUP(WEEKDAY(B34),WoTage!C2:D8)</f>
        <v>-1</v>
      </c>
      <c r="E34" s="78">
        <v>1</v>
      </c>
      <c r="F34" s="7"/>
      <c r="G34" s="7">
        <f t="shared" si="1"/>
        <v>6</v>
      </c>
      <c r="H34" t="str">
        <f>LOOKUP(WEEKDAY(B34),WoTage!$A$2:$B$8,WoTage!$B$2:$B$8)</f>
        <v>Fr.</v>
      </c>
    </row>
    <row r="35" spans="1:8" ht="15" thickTop="1" x14ac:dyDescent="0.35"/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23"/>
  <sheetViews>
    <sheetView workbookViewId="0">
      <selection activeCell="A12" sqref="A12"/>
    </sheetView>
  </sheetViews>
  <sheetFormatPr baseColWidth="10" defaultColWidth="11.453125" defaultRowHeight="14.5" x14ac:dyDescent="0.35"/>
  <cols>
    <col min="1" max="1" width="10.7265625" customWidth="1"/>
    <col min="2" max="2" width="6.26953125" customWidth="1"/>
    <col min="3" max="3" width="5.81640625" customWidth="1"/>
    <col min="4" max="4" width="6.453125" customWidth="1"/>
  </cols>
  <sheetData>
    <row r="1" spans="1:5" x14ac:dyDescent="0.35">
      <c r="A1" s="4" t="s">
        <v>75</v>
      </c>
      <c r="B1" s="4"/>
      <c r="C1" s="4"/>
      <c r="D1" s="4"/>
    </row>
    <row r="2" spans="1:5" x14ac:dyDescent="0.35">
      <c r="A2" s="7">
        <v>1</v>
      </c>
      <c r="B2" s="7" t="s">
        <v>76</v>
      </c>
      <c r="C2" s="7">
        <v>1</v>
      </c>
      <c r="D2" s="7">
        <v>-2</v>
      </c>
    </row>
    <row r="3" spans="1:5" x14ac:dyDescent="0.35">
      <c r="A3" s="7">
        <v>2</v>
      </c>
      <c r="B3" s="7" t="s">
        <v>77</v>
      </c>
      <c r="C3" s="7">
        <v>2</v>
      </c>
      <c r="D3" s="7">
        <v>-3</v>
      </c>
    </row>
    <row r="4" spans="1:5" x14ac:dyDescent="0.35">
      <c r="A4" s="7">
        <v>3</v>
      </c>
      <c r="B4" s="7" t="s">
        <v>78</v>
      </c>
      <c r="C4" s="7">
        <v>3</v>
      </c>
      <c r="D4" s="7">
        <v>-1</v>
      </c>
    </row>
    <row r="5" spans="1:5" x14ac:dyDescent="0.35">
      <c r="A5" s="7">
        <v>4</v>
      </c>
      <c r="B5" s="7" t="s">
        <v>79</v>
      </c>
      <c r="C5" s="7">
        <v>4</v>
      </c>
      <c r="D5" s="7">
        <v>-1</v>
      </c>
    </row>
    <row r="6" spans="1:5" x14ac:dyDescent="0.35">
      <c r="A6" s="7">
        <v>5</v>
      </c>
      <c r="B6" s="7" t="s">
        <v>80</v>
      </c>
      <c r="C6" s="7">
        <v>5</v>
      </c>
      <c r="D6" s="7">
        <v>-1</v>
      </c>
    </row>
    <row r="7" spans="1:5" x14ac:dyDescent="0.35">
      <c r="A7" s="7">
        <v>6</v>
      </c>
      <c r="B7" s="7" t="s">
        <v>81</v>
      </c>
      <c r="C7" s="7">
        <v>6</v>
      </c>
      <c r="D7" s="7">
        <v>-1</v>
      </c>
    </row>
    <row r="8" spans="1:5" x14ac:dyDescent="0.35">
      <c r="A8" s="7">
        <v>7</v>
      </c>
      <c r="B8" s="7" t="s">
        <v>82</v>
      </c>
      <c r="C8" s="7">
        <v>7</v>
      </c>
      <c r="D8" s="7">
        <v>-1</v>
      </c>
    </row>
    <row r="10" spans="1:5" x14ac:dyDescent="0.35">
      <c r="A10" t="s">
        <v>83</v>
      </c>
    </row>
    <row r="11" spans="1:5" x14ac:dyDescent="0.35">
      <c r="A11" s="61">
        <v>46143</v>
      </c>
    </row>
    <row r="12" spans="1:5" x14ac:dyDescent="0.35">
      <c r="A12" s="61">
        <v>45962</v>
      </c>
    </row>
    <row r="13" spans="1:5" x14ac:dyDescent="0.35">
      <c r="A13" s="61">
        <v>45778</v>
      </c>
    </row>
    <row r="14" spans="1:5" x14ac:dyDescent="0.35">
      <c r="A14" s="61">
        <v>45597</v>
      </c>
      <c r="E14" s="75"/>
    </row>
    <row r="15" spans="1:5" x14ac:dyDescent="0.35">
      <c r="A15" s="61">
        <v>45413</v>
      </c>
    </row>
    <row r="16" spans="1:5" x14ac:dyDescent="0.35">
      <c r="A16" s="61">
        <v>45231</v>
      </c>
    </row>
    <row r="17" spans="1:7" x14ac:dyDescent="0.35">
      <c r="A17" s="61">
        <v>45047</v>
      </c>
    </row>
    <row r="18" spans="1:7" x14ac:dyDescent="0.35">
      <c r="A18" s="61">
        <v>44866</v>
      </c>
    </row>
    <row r="21" spans="1:7" x14ac:dyDescent="0.35">
      <c r="G21" s="61"/>
    </row>
    <row r="22" spans="1:7" x14ac:dyDescent="0.35">
      <c r="G22" s="61"/>
    </row>
    <row r="23" spans="1:7" x14ac:dyDescent="0.35">
      <c r="G23" s="61"/>
    </row>
  </sheetData>
  <sortState xmlns:xlrd2="http://schemas.microsoft.com/office/spreadsheetml/2017/richdata2" ref="A13:A19">
    <sortCondition descending="1" ref="A13"/>
  </sortState>
  <pageMargins left="0.7" right="0.7" top="0.78740157499999996" bottom="0.78740157499999996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49B7C58B16C4DBB30B71923C96CAE" ma:contentTypeVersion="4" ma:contentTypeDescription="Ein neues Dokument erstellen." ma:contentTypeScope="" ma:versionID="469385b3acddb720caf0f322413d9c46">
  <xsd:schema xmlns:xsd="http://www.w3.org/2001/XMLSchema" xmlns:xs="http://www.w3.org/2001/XMLSchema" xmlns:p="http://schemas.microsoft.com/office/2006/metadata/properties" xmlns:ns2="d98ef64a-eb58-4d26-a7db-f24b6786f1c7" xmlns:ns3="61d952c2-865c-4edf-acff-9c16146c1846" targetNamespace="http://schemas.microsoft.com/office/2006/metadata/properties" ma:root="true" ma:fieldsID="d2627ba8f63af45e355fd78e6ff13a9c" ns2:_="" ns3:_="">
    <xsd:import namespace="d98ef64a-eb58-4d26-a7db-f24b6786f1c7"/>
    <xsd:import namespace="61d952c2-865c-4edf-acff-9c16146c18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ef64a-eb58-4d26-a7db-f24b6786f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952c2-865c-4edf-acff-9c16146c18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C99FE5-915C-409C-B081-1F573582241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C76877F-03F0-4219-A75E-680BFED418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979E-8352-4415-8029-30133BB79B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8ef64a-eb58-4d26-a7db-f24b6786f1c7"/>
    <ds:schemaRef ds:uri="61d952c2-865c-4edf-acff-9c16146c18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Termine</vt:lpstr>
      <vt:lpstr>Erläuterungen</vt:lpstr>
      <vt:lpstr>Feiertage</vt:lpstr>
      <vt:lpstr>WoTage</vt:lpstr>
      <vt:lpstr>Termine!Druckbereich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Kurt</dc:creator>
  <cp:keywords/>
  <dc:description/>
  <cp:lastModifiedBy>Kurt Güttler</cp:lastModifiedBy>
  <cp:revision/>
  <dcterms:created xsi:type="dcterms:W3CDTF">2014-04-08T08:50:05Z</dcterms:created>
  <dcterms:modified xsi:type="dcterms:W3CDTF">2024-03-01T08:55:15Z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0x01010014B49B7C58B16C4DBB30B71923C96CAE</vt:lpwstr>
  </property>
</Properties>
</file>